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450" windowHeight="7335" activeTab="1"/>
  </bookViews>
  <sheets>
    <sheet name="Com" sheetId="1" r:id="rId1"/>
    <sheet name="Param" sheetId="2" r:id="rId2"/>
    <sheet name="1Low" sheetId="3" r:id="rId3"/>
    <sheet name="Billettpriser" sheetId="4" state="hidden" r:id="rId4"/>
    <sheet name="1High" sheetId="5" r:id="rId5"/>
    <sheet name="2Low" sheetId="6" r:id="rId6"/>
    <sheet name="2High" sheetId="7" r:id="rId7"/>
    <sheet name="3Low" sheetId="8" r:id="rId8"/>
    <sheet name="3High" sheetId="9" r:id="rId9"/>
    <sheet name="NPV" sheetId="10" r:id="rId10"/>
    <sheet name="NPVtime" sheetId="11" r:id="rId11"/>
    <sheet name="IRR" sheetId="12" r:id="rId12"/>
    <sheet name="Costs pkm" sheetId="13" r:id="rId13"/>
    <sheet name="Costprice1" sheetId="14" r:id="rId14"/>
    <sheet name="Costprice2" sheetId="15" r:id="rId15"/>
    <sheet name="Profit" sheetId="16" r:id="rId16"/>
    <sheet name="Cost" sheetId="17" r:id="rId17"/>
    <sheet name="Cap" sheetId="18" r:id="rId18"/>
    <sheet name="O&amp;M dist" sheetId="19" r:id="rId19"/>
    <sheet name="O&amp;M1L" sheetId="20" r:id="rId20"/>
    <sheet name="O&amp;M1H" sheetId="21" r:id="rId21"/>
    <sheet name="O&amp;M3H" sheetId="22" r:id="rId22"/>
    <sheet name="A1LD" sheetId="23" r:id="rId23"/>
    <sheet name="A1H" sheetId="24" r:id="rId24"/>
    <sheet name="ACap1LD" sheetId="25" r:id="rId25"/>
    <sheet name="Cap1L" sheetId="26" r:id="rId26"/>
    <sheet name="Cap1H" sheetId="27" r:id="rId27"/>
    <sheet name="Cap2L" sheetId="28" r:id="rId28"/>
    <sheet name="Cap2H" sheetId="29" r:id="rId29"/>
    <sheet name="Cap3L" sheetId="30" r:id="rId30"/>
    <sheet name="Cap3H" sheetId="31" r:id="rId31"/>
  </sheets>
  <definedNames>
    <definedName name="_xlnm.Print_Area" localSheetId="4">'1High'!$A$1:$I$91</definedName>
    <definedName name="_xlnm.Print_Area" localSheetId="2">'1Low'!$A$1:$I$91</definedName>
    <definedName name="_xlnm.Print_Area" localSheetId="6">'2High'!$A$1:$I$91</definedName>
    <definedName name="_xlnm.Print_Area" localSheetId="5">'2Low'!$A$1:$I$91</definedName>
    <definedName name="_xlnm.Print_Area" localSheetId="8">'3High'!$A$1:$I$91</definedName>
    <definedName name="_xlnm.Print_Area" localSheetId="7">'3Low'!$A$1:$I$91</definedName>
    <definedName name="_xlnm.Print_Area" localSheetId="0">'Com'!$A$1:$I$91</definedName>
    <definedName name="Z_53E0A7E1_EC4B_11D2_9CCC_94B683952D28_.wvu.PrintArea" localSheetId="4" hidden="1">'1High'!$A$3:$D$65</definedName>
    <definedName name="Z_53E0A7E1_EC4B_11D2_9CCC_94B683952D28_.wvu.PrintArea" localSheetId="2" hidden="1">'1Low'!$A$3:$D$64</definedName>
    <definedName name="Z_53E0A7E1_EC4B_11D2_9CCC_94B683952D28_.wvu.PrintArea" localSheetId="6" hidden="1">'2High'!$A$3:$D$65</definedName>
    <definedName name="Z_53E0A7E1_EC4B_11D2_9CCC_94B683952D28_.wvu.PrintArea" localSheetId="5" hidden="1">'2Low'!$A$3:$D$65</definedName>
    <definedName name="Z_53E0A7E1_EC4B_11D2_9CCC_94B683952D28_.wvu.PrintArea" localSheetId="8" hidden="1">'3High'!$A$3:$D$65</definedName>
    <definedName name="Z_53E0A7E1_EC4B_11D2_9CCC_94B683952D28_.wvu.PrintArea" localSheetId="7" hidden="1">'3Low'!$A$3:$D$65</definedName>
    <definedName name="Z_53E0A7E1_EC4B_11D2_9CCC_94B683952D28_.wvu.PrintArea" localSheetId="0" hidden="1">'Com'!$A$44:$D$64</definedName>
    <definedName name="Z_D67473CA_76F3_458E_8DEC_D9B3BB1ACB62_.wvu.PrintArea" localSheetId="4" hidden="1">'1High'!$A$3:$D$82</definedName>
    <definedName name="Z_D67473CA_76F3_458E_8DEC_D9B3BB1ACB62_.wvu.PrintArea" localSheetId="2" hidden="1">'1Low'!$A$3:$D$82</definedName>
    <definedName name="Z_D67473CA_76F3_458E_8DEC_D9B3BB1ACB62_.wvu.PrintArea" localSheetId="6" hidden="1">'2High'!$A$3:$D$82</definedName>
    <definedName name="Z_D67473CA_76F3_458E_8DEC_D9B3BB1ACB62_.wvu.PrintArea" localSheetId="5" hidden="1">'2Low'!$A$3:$D$82</definedName>
    <definedName name="Z_D67473CA_76F3_458E_8DEC_D9B3BB1ACB62_.wvu.PrintArea" localSheetId="8" hidden="1">'3High'!$A$3:$D$82</definedName>
    <definedName name="Z_D67473CA_76F3_458E_8DEC_D9B3BB1ACB62_.wvu.PrintArea" localSheetId="7" hidden="1">'3Low'!$A$3:$D$82</definedName>
    <definedName name="Z_D67473CA_76F3_458E_8DEC_D9B3BB1ACB62_.wvu.PrintArea" localSheetId="0" hidden="1">'Com'!$A$44:$D$82</definedName>
  </definedNames>
  <calcPr fullCalcOnLoad="1"/>
</workbook>
</file>

<file path=xl/comments1.xml><?xml version="1.0" encoding="utf-8"?>
<comments xmlns="http://schemas.openxmlformats.org/spreadsheetml/2006/main">
  <authors>
    <author>Arno Mong Daast?l</author>
  </authors>
  <commentLis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3.xml><?xml version="1.0" encoding="utf-8"?>
<comments xmlns="http://schemas.openxmlformats.org/spreadsheetml/2006/main">
  <authors>
    <author>Arno Mong Daast?l</author>
  </authors>
  <commentLis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</commentList>
</comments>
</file>

<file path=xl/comments5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6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7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8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9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sharedStrings.xml><?xml version="1.0" encoding="utf-8"?>
<sst xmlns="http://schemas.openxmlformats.org/spreadsheetml/2006/main" count="1517" uniqueCount="380">
  <si>
    <t>Installation of track</t>
  </si>
  <si>
    <t xml:space="preserve">Long downwriting time </t>
  </si>
  <si>
    <t xml:space="preserve">Short downwriting time </t>
  </si>
  <si>
    <t>Support foundations</t>
  </si>
  <si>
    <t>Central computer</t>
  </si>
  <si>
    <t>Local computers, signal system etc. per km</t>
  </si>
  <si>
    <t>Ticketing machines  (one on each station)</t>
  </si>
  <si>
    <t>Total investment costs with diverse add-ons</t>
  </si>
  <si>
    <t xml:space="preserve">Land rent per km </t>
  </si>
  <si>
    <t>Downwriting in total per year</t>
  </si>
  <si>
    <t>Income from letting stations (malls etc.)</t>
  </si>
  <si>
    <t>Income from letting room for optical cables etc.</t>
  </si>
  <si>
    <t>Income from night-freight of light cargo, post etc.</t>
  </si>
  <si>
    <t>Annual downwriting</t>
  </si>
  <si>
    <t>Annual interest costs</t>
  </si>
  <si>
    <t>Vehicles</t>
  </si>
  <si>
    <t>Adjustment  (10 + 1  per km)</t>
  </si>
  <si>
    <t>Price</t>
  </si>
  <si>
    <t>Partsum</t>
  </si>
  <si>
    <t>Application and adjustments</t>
  </si>
  <si>
    <t>Hardware maintenance costs in % of investment</t>
  </si>
  <si>
    <t>Alternatives for faster downwriting:</t>
  </si>
  <si>
    <t>Annual net expenses at 10 years general downwriting</t>
  </si>
  <si>
    <t>Annual operating costs</t>
  </si>
  <si>
    <t>Maintenance Costs</t>
  </si>
  <si>
    <t>Track, stations</t>
  </si>
  <si>
    <r>
      <t xml:space="preserve">min  </t>
    </r>
    <r>
      <rPr>
        <b/>
        <sz val="10"/>
        <rFont val="Arial"/>
        <family val="2"/>
      </rPr>
      <t>Administration</t>
    </r>
  </si>
  <si>
    <r>
      <t xml:space="preserve">min </t>
    </r>
    <r>
      <rPr>
        <b/>
        <sz val="10"/>
        <rFont val="Arial"/>
        <family val="2"/>
      </rPr>
      <t>Maintenance</t>
    </r>
    <r>
      <rPr>
        <sz val="10"/>
        <rFont val="Arial"/>
        <family val="2"/>
      </rPr>
      <t xml:space="preserve">  </t>
    </r>
  </si>
  <si>
    <r>
      <t>Travel costs</t>
    </r>
    <r>
      <rPr>
        <sz val="10"/>
        <rFont val="Arial"/>
        <family val="0"/>
      </rPr>
      <t xml:space="preserve"> per km (Annual costs in millions / annual travelled kms)</t>
    </r>
  </si>
  <si>
    <t>Income from advertising at stations  (50% of total income)</t>
  </si>
  <si>
    <t>Income from advertising on vehicles (50% of total income)</t>
  </si>
  <si>
    <r>
      <t>Garage / control centre</t>
    </r>
    <r>
      <rPr>
        <sz val="10"/>
        <rFont val="Arial"/>
        <family val="2"/>
      </rPr>
      <t xml:space="preserve"> vehicle relation - Min size</t>
    </r>
  </si>
  <si>
    <t>Ticket price</t>
  </si>
  <si>
    <t>Regular income</t>
  </si>
  <si>
    <t>Extra income</t>
  </si>
  <si>
    <t>Total income</t>
  </si>
  <si>
    <t>Total capital costs - 10 years general downwriting</t>
  </si>
  <si>
    <t xml:space="preserve">Cost per km - 10 years general downwriting </t>
  </si>
  <si>
    <t>Net total annual costs for 10 years general downwriting</t>
  </si>
  <si>
    <t>OPERATING PROFITS BEFORE TAX  - 10 years general downwriting</t>
  </si>
  <si>
    <t>INTERNAL RATE OF RETURN</t>
  </si>
  <si>
    <t>NET CASH</t>
  </si>
  <si>
    <t>Pre-Tax</t>
  </si>
  <si>
    <t>Year</t>
  </si>
  <si>
    <t>Outflow</t>
  </si>
  <si>
    <t>Inflow</t>
  </si>
  <si>
    <t>FLOW</t>
  </si>
  <si>
    <t>I R R</t>
  </si>
  <si>
    <t>Net total annual costs for differentiated downwriting</t>
  </si>
  <si>
    <t>10 general</t>
  </si>
  <si>
    <t>Low</t>
  </si>
  <si>
    <t>High</t>
  </si>
  <si>
    <t>Track length:</t>
  </si>
  <si>
    <t>Traffic density:</t>
  </si>
  <si>
    <t>Downwriting periods</t>
  </si>
  <si>
    <t xml:space="preserve">Interest costs in total per year </t>
  </si>
  <si>
    <t>NPV</t>
  </si>
  <si>
    <t>Mill US $</t>
  </si>
  <si>
    <t>Electricity price per Kwh in US $</t>
  </si>
  <si>
    <t>Hardware maintenance costs per km run</t>
  </si>
  <si>
    <t>Ticketing machines</t>
  </si>
  <si>
    <t>Central computer adjustment</t>
  </si>
  <si>
    <t>Local  computer adjustment per km</t>
  </si>
  <si>
    <r>
      <t>Cost per km</t>
    </r>
    <r>
      <rPr>
        <b/>
        <sz val="10"/>
        <rFont val="Arial"/>
        <family val="2"/>
      </rPr>
      <t xml:space="preserve"> track</t>
    </r>
  </si>
  <si>
    <t>Track length and trips per day:</t>
  </si>
  <si>
    <t>Control system</t>
  </si>
  <si>
    <t>Units</t>
  </si>
  <si>
    <t>Rate of ticketed fares</t>
  </si>
  <si>
    <t xml:space="preserve">Kwh usage propulsion per km </t>
  </si>
  <si>
    <t>Alternative downwriting periods (in years)</t>
  </si>
  <si>
    <t>Trips per day</t>
  </si>
  <si>
    <r>
      <t xml:space="preserve">Tickets </t>
    </r>
    <r>
      <rPr>
        <sz val="10"/>
        <rFont val="Arial"/>
        <family val="2"/>
      </rPr>
      <t>(trips x price x rate of local fares)</t>
    </r>
  </si>
  <si>
    <t>Stations inside</t>
  </si>
  <si>
    <t xml:space="preserve">1 stage : </t>
  </si>
  <si>
    <t>2 stage :</t>
  </si>
  <si>
    <t>3 stage :</t>
  </si>
  <si>
    <t>km</t>
  </si>
  <si>
    <t>Kwh usage for heating per km</t>
  </si>
  <si>
    <t>Variable per km and for this network (mult. with kms)</t>
  </si>
  <si>
    <t>Hardware maintenance costs in % of investment p.a.</t>
  </si>
  <si>
    <t>Service of control system in % of investments) p.a.</t>
  </si>
  <si>
    <t>Electricity Costs</t>
  </si>
  <si>
    <t>In addition to 3 different downwriting scenarios,</t>
  </si>
  <si>
    <t xml:space="preserve">The reason for the jumpy performance is the jumpy investment strategy, </t>
  </si>
  <si>
    <t>1 indicates stage 1 - low density traffic</t>
  </si>
  <si>
    <t>2 indicates stage 1 - high density traffic</t>
  </si>
  <si>
    <t>4 indicates stage 2 - high density traffic</t>
  </si>
  <si>
    <t>6 indicates stage 3 - high density traffic</t>
  </si>
  <si>
    <t>chosen for this illustration of expansion of the network -</t>
  </si>
  <si>
    <t>in combination with the illustration's jumpy assumption of traffic densities.</t>
  </si>
  <si>
    <t>Tracks totat</t>
  </si>
  <si>
    <t xml:space="preserve">Control system - Total </t>
  </si>
  <si>
    <t>Total hardware investment</t>
  </si>
  <si>
    <t xml:space="preserve">Stations outside </t>
  </si>
  <si>
    <t>Switches</t>
  </si>
  <si>
    <t>Track - length added for station sidetracks (as a function of number of stations)</t>
  </si>
  <si>
    <t xml:space="preserve">Track - km length added for each station </t>
  </si>
  <si>
    <r>
      <t xml:space="preserve">Central Facilities </t>
    </r>
    <r>
      <rPr>
        <sz val="10"/>
        <rFont val="Arial"/>
        <family val="2"/>
      </rPr>
      <t>(Garage / Workshop / Control Centre) (Basic + per km)</t>
    </r>
  </si>
  <si>
    <t>Contingencies</t>
  </si>
  <si>
    <r>
      <t>Interest rate</t>
    </r>
    <r>
      <rPr>
        <sz val="10"/>
        <rFont val="Arial"/>
        <family val="2"/>
      </rPr>
      <t xml:space="preserve"> : </t>
    </r>
  </si>
  <si>
    <t>Tracks with sidetracks and supports - kms</t>
  </si>
  <si>
    <t>Planning and development</t>
  </si>
  <si>
    <r>
      <t xml:space="preserve">Income from </t>
    </r>
    <r>
      <rPr>
        <b/>
        <sz val="10"/>
        <rFont val="Arial"/>
        <family val="2"/>
      </rPr>
      <t xml:space="preserve">letting </t>
    </r>
    <r>
      <rPr>
        <sz val="10"/>
        <rFont val="Arial"/>
        <family val="2"/>
      </rPr>
      <t>stations (malls etc.)</t>
    </r>
  </si>
  <si>
    <t>Downwriting contingencies</t>
  </si>
  <si>
    <r>
      <t xml:space="preserve">Track in km </t>
    </r>
    <r>
      <rPr>
        <sz val="10"/>
        <rFont val="Arial"/>
        <family val="2"/>
      </rPr>
      <t>(net)</t>
    </r>
  </si>
  <si>
    <r>
      <t xml:space="preserve">Total km </t>
    </r>
    <r>
      <rPr>
        <b/>
        <sz val="10"/>
        <rFont val="Arial"/>
        <family val="2"/>
      </rPr>
      <t xml:space="preserve">track </t>
    </r>
    <r>
      <rPr>
        <sz val="10"/>
        <rFont val="Arial"/>
        <family val="2"/>
      </rPr>
      <t>(gross)</t>
    </r>
  </si>
  <si>
    <r>
      <t xml:space="preserve">Land rent </t>
    </r>
    <r>
      <rPr>
        <sz val="10"/>
        <rFont val="Arial"/>
        <family val="2"/>
      </rPr>
      <t>per km</t>
    </r>
  </si>
  <si>
    <r>
      <t>Application and adjustments</t>
    </r>
    <r>
      <rPr>
        <sz val="10"/>
        <rFont val="Arial"/>
        <family val="2"/>
      </rPr>
      <t xml:space="preserve"> per km </t>
    </r>
  </si>
  <si>
    <t>Fixed costs</t>
  </si>
  <si>
    <t>Variable costs</t>
  </si>
  <si>
    <t>Stations total</t>
  </si>
  <si>
    <t>Track with stations</t>
  </si>
  <si>
    <t>Basic</t>
  </si>
  <si>
    <t>Track length</t>
  </si>
  <si>
    <r>
      <t xml:space="preserve">PRT costs - in million US dollars </t>
    </r>
    <r>
      <rPr>
        <sz val="16"/>
        <rFont val="Arial"/>
        <family val="2"/>
      </rPr>
      <t>(except cost per km i single dollars)</t>
    </r>
  </si>
  <si>
    <t>2. Medium</t>
  </si>
  <si>
    <t>3. Large</t>
  </si>
  <si>
    <t xml:space="preserve">1. Small </t>
  </si>
  <si>
    <t>Hardware maintenance costs - per km travelled</t>
  </si>
  <si>
    <r>
      <t>Support foundations</t>
    </r>
    <r>
      <rPr>
        <sz val="10"/>
        <rFont val="Arial"/>
        <family val="2"/>
      </rPr>
      <t xml:space="preserve"> per km </t>
    </r>
  </si>
  <si>
    <r>
      <t xml:space="preserve">Track installation costs </t>
    </r>
    <r>
      <rPr>
        <sz val="10"/>
        <rFont val="Arial"/>
        <family val="2"/>
      </rPr>
      <t>per km</t>
    </r>
  </si>
  <si>
    <r>
      <t xml:space="preserve">Extra cost for switches </t>
    </r>
    <r>
      <rPr>
        <sz val="10"/>
        <rFont val="Arial"/>
        <family val="2"/>
      </rPr>
      <t>per km - in addition to 2 per station</t>
    </r>
  </si>
  <si>
    <t xml:space="preserve">the charts show 3 construction stages and </t>
  </si>
  <si>
    <t>2 different traffic densities, thereby showing 18 scenarios.</t>
  </si>
  <si>
    <t>18 scenarios altogether, on 6 sheets - further illustrated with tables and graphs.</t>
  </si>
  <si>
    <t>Unimportant:</t>
  </si>
  <si>
    <t>Important:</t>
  </si>
  <si>
    <t>Conclusions:</t>
  </si>
  <si>
    <r>
      <t xml:space="preserve">Some very general observations regarding the effects on NPV </t>
    </r>
    <r>
      <rPr>
        <sz val="12"/>
        <rFont val="Arial"/>
        <family val="2"/>
      </rPr>
      <t xml:space="preserve">(net present value) </t>
    </r>
    <r>
      <rPr>
        <b/>
        <sz val="12"/>
        <rFont val="Arial"/>
        <family val="2"/>
      </rPr>
      <t xml:space="preserve">and IRR </t>
    </r>
    <r>
      <rPr>
        <sz val="12"/>
        <rFont val="Arial"/>
        <family val="2"/>
      </rPr>
      <t>(internal rate of return)</t>
    </r>
    <r>
      <rPr>
        <b/>
        <sz val="12"/>
        <rFont val="Arial"/>
        <family val="2"/>
      </rPr>
      <t xml:space="preserve"> :</t>
    </r>
  </si>
  <si>
    <r>
      <t>1.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initial planning and development expenses </t>
    </r>
    <r>
      <rPr>
        <sz val="12"/>
        <rFont val="Arial"/>
        <family val="2"/>
      </rPr>
      <t>have a VERY insignificant effect - except with a short track and low traffic density.</t>
    </r>
  </si>
  <si>
    <r>
      <t>2.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fixed capital </t>
    </r>
    <r>
      <rPr>
        <sz val="12"/>
        <rFont val="Arial"/>
        <family val="2"/>
      </rPr>
      <t>has little effect except with a short track and low traffic density - and shrinks in importance with increasing traffic.</t>
    </r>
  </si>
  <si>
    <r>
      <t>3.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electricity </t>
    </r>
    <r>
      <rPr>
        <sz val="12"/>
        <rFont val="Arial"/>
        <family val="2"/>
      </rPr>
      <t>has little effect.</t>
    </r>
  </si>
  <si>
    <r>
      <t>4.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labour </t>
    </r>
    <r>
      <rPr>
        <sz val="12"/>
        <rFont val="Arial"/>
        <family val="2"/>
      </rPr>
      <t>has litte effect (wages and number of employees).</t>
    </r>
  </si>
  <si>
    <r>
      <t>5.</t>
    </r>
    <r>
      <rPr>
        <sz val="12"/>
        <rFont val="Arial"/>
        <family val="2"/>
      </rPr>
      <t xml:space="preserve"> The effect of capital cost - the </t>
    </r>
    <r>
      <rPr>
        <b/>
        <sz val="12"/>
        <rFont val="Arial"/>
        <family val="2"/>
      </rPr>
      <t>interest rate</t>
    </r>
    <r>
      <rPr>
        <sz val="12"/>
        <rFont val="Arial"/>
        <family val="2"/>
      </rPr>
      <t xml:space="preserve"> - is small.</t>
    </r>
  </si>
  <si>
    <r>
      <t xml:space="preserve">5. Downwriting conditions </t>
    </r>
    <r>
      <rPr>
        <sz val="12"/>
        <rFont val="Arial"/>
        <family val="2"/>
      </rPr>
      <t>have a tremendous effect.</t>
    </r>
  </si>
  <si>
    <t>3 construction stages and 2 different traffic densities, thereby showing:</t>
  </si>
  <si>
    <t>In addition to 3 different downwriting scenarios, the sheets and charts show :</t>
  </si>
  <si>
    <t>Expenses</t>
  </si>
  <si>
    <t xml:space="preserve">Income </t>
  </si>
  <si>
    <t>Maintenance costs (reduction)</t>
  </si>
  <si>
    <t>Vehicle cost (reduction)</t>
  </si>
  <si>
    <t>Traffic density (increase)</t>
  </si>
  <si>
    <t>Trip length (reduction)</t>
  </si>
  <si>
    <r>
      <t xml:space="preserve">Or to put this another way, </t>
    </r>
    <r>
      <rPr>
        <b/>
        <sz val="12"/>
        <rFont val="Arial"/>
        <family val="2"/>
      </rPr>
      <t>focus must be on</t>
    </r>
    <r>
      <rPr>
        <sz val="12"/>
        <rFont val="Arial"/>
        <family val="2"/>
      </rPr>
      <t xml:space="preserve"> :</t>
    </r>
  </si>
  <si>
    <t>Bold indicates particular importance</t>
  </si>
  <si>
    <t>Trips per year</t>
  </si>
  <si>
    <r>
      <t>Subsidy</t>
    </r>
    <r>
      <rPr>
        <sz val="10"/>
        <rFont val="Arial"/>
        <family val="2"/>
      </rPr>
      <t xml:space="preserve"> (percentage added)</t>
    </r>
  </si>
  <si>
    <t>Downwriting period (increase - also as a function of good technology)</t>
  </si>
  <si>
    <r>
      <t xml:space="preserve">Income from </t>
    </r>
    <r>
      <rPr>
        <b/>
        <sz val="10"/>
        <rFont val="Arial"/>
        <family val="2"/>
      </rPr>
      <t xml:space="preserve">freight </t>
    </r>
    <r>
      <rPr>
        <sz val="10"/>
        <rFont val="Arial"/>
        <family val="2"/>
      </rPr>
      <t>of light cargo, post etc.</t>
    </r>
  </si>
  <si>
    <t>Subsidy</t>
  </si>
  <si>
    <r>
      <t>Differentiated downwriting periods</t>
    </r>
    <r>
      <rPr>
        <sz val="10"/>
        <rFont val="Arial"/>
        <family val="2"/>
      </rPr>
      <t xml:space="preserve"> (years)</t>
    </r>
  </si>
  <si>
    <r>
      <t>General downwriting periods</t>
    </r>
    <r>
      <rPr>
        <sz val="10"/>
        <rFont val="Arial"/>
        <family val="2"/>
      </rPr>
      <t xml:space="preserve"> (years)</t>
    </r>
  </si>
  <si>
    <t>NPV - Net Present Value - in 18  scenarios - in million US $ dollars (for x % interest rate / stock- or bond yield)</t>
  </si>
  <si>
    <r>
      <t xml:space="preserve">Trip length </t>
    </r>
    <r>
      <rPr>
        <sz val="10"/>
        <rFont val="Arial"/>
        <family val="2"/>
      </rPr>
      <t>- average</t>
    </r>
  </si>
  <si>
    <r>
      <t xml:space="preserve">Average </t>
    </r>
    <r>
      <rPr>
        <b/>
        <sz val="10"/>
        <rFont val="Arial"/>
        <family val="2"/>
      </rPr>
      <t>travel length</t>
    </r>
    <r>
      <rPr>
        <sz val="10"/>
        <rFont val="Arial"/>
        <family val="2"/>
      </rPr>
      <t xml:space="preserve"> km including empty vehcile travel</t>
    </r>
  </si>
  <si>
    <r>
      <t xml:space="preserve">6. </t>
    </r>
    <r>
      <rPr>
        <sz val="12"/>
        <rFont val="Arial"/>
        <family val="2"/>
      </rPr>
      <t xml:space="preserve">The </t>
    </r>
    <r>
      <rPr>
        <b/>
        <sz val="12"/>
        <rFont val="Arial"/>
        <family val="2"/>
      </rPr>
      <t xml:space="preserve">fare price </t>
    </r>
    <r>
      <rPr>
        <sz val="12"/>
        <rFont val="Arial"/>
        <family val="2"/>
      </rPr>
      <t>contributes likewise (ticketing and evt. subsidies).</t>
    </r>
  </si>
  <si>
    <r>
      <t xml:space="preserve">7. Traffic intensity </t>
    </r>
    <r>
      <rPr>
        <sz val="12"/>
        <rFont val="Arial"/>
        <family val="2"/>
      </rPr>
      <t>is very important and contributes in a positive manner.</t>
    </r>
  </si>
  <si>
    <r>
      <t xml:space="preserve">8. Vechicle throughput </t>
    </r>
    <r>
      <rPr>
        <sz val="12"/>
        <rFont val="Arial"/>
        <family val="2"/>
      </rPr>
      <t>(capacity) as a function of speed, easy of load/inload.</t>
    </r>
  </si>
  <si>
    <t>9. Empty vehicle factor</t>
  </si>
  <si>
    <t xml:space="preserve">10. Trip distance </t>
  </si>
  <si>
    <r>
      <t xml:space="preserve">11. Vehicle cost </t>
    </r>
    <r>
      <rPr>
        <sz val="12"/>
        <rFont val="Arial"/>
        <family val="2"/>
      </rPr>
      <t>is of considerable importance and grows severely in importance with increasing traffic.</t>
    </r>
    <r>
      <rPr>
        <b/>
        <sz val="12"/>
        <rFont val="Arial"/>
        <family val="2"/>
      </rPr>
      <t xml:space="preserve"> </t>
    </r>
  </si>
  <si>
    <r>
      <t xml:space="preserve">On the </t>
    </r>
    <r>
      <rPr>
        <b/>
        <sz val="12"/>
        <rFont val="Arial"/>
        <family val="2"/>
      </rPr>
      <t xml:space="preserve">financial </t>
    </r>
    <r>
      <rPr>
        <sz val="12"/>
        <rFont val="Arial"/>
        <family val="2"/>
      </rPr>
      <t xml:space="preserve">side, efforts must be focused on the </t>
    </r>
    <r>
      <rPr>
        <b/>
        <sz val="12"/>
        <rFont val="Arial"/>
        <family val="2"/>
      </rPr>
      <t>downwriting conditions</t>
    </r>
    <r>
      <rPr>
        <sz val="12"/>
        <rFont val="Arial"/>
        <family val="2"/>
      </rPr>
      <t>.</t>
    </r>
  </si>
  <si>
    <t>lower vehicle costs, create efficient routing, increase speed, decrease load/unload time, and decrease headway.</t>
  </si>
  <si>
    <r>
      <t xml:space="preserve">On the </t>
    </r>
    <r>
      <rPr>
        <b/>
        <sz val="12"/>
        <rFont val="Arial"/>
        <family val="2"/>
      </rPr>
      <t xml:space="preserve">technical </t>
    </r>
    <r>
      <rPr>
        <sz val="12"/>
        <rFont val="Arial"/>
        <family val="2"/>
      </rPr>
      <t xml:space="preserve">side, every effort must be made to </t>
    </r>
    <r>
      <rPr>
        <b/>
        <sz val="12"/>
        <rFont val="Arial"/>
        <family val="2"/>
      </rPr>
      <t>decrase maintenance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optimise the vehicle : </t>
    </r>
  </si>
  <si>
    <r>
      <t xml:space="preserve">On the </t>
    </r>
    <r>
      <rPr>
        <b/>
        <sz val="12"/>
        <rFont val="Arial"/>
        <family val="2"/>
      </rPr>
      <t>socio-economic</t>
    </r>
    <r>
      <rPr>
        <sz val="12"/>
        <rFont val="Arial"/>
        <family val="2"/>
      </rPr>
      <t xml:space="preserve"> side, efforts must be made to gain a high </t>
    </r>
    <r>
      <rPr>
        <b/>
        <sz val="12"/>
        <rFont val="Arial"/>
        <family val="2"/>
      </rPr>
      <t>traffic density,</t>
    </r>
    <r>
      <rPr>
        <sz val="12"/>
        <rFont val="Arial"/>
        <family val="2"/>
      </rPr>
      <t xml:space="preserve"> high </t>
    </r>
    <r>
      <rPr>
        <b/>
        <sz val="12"/>
        <rFont val="Arial"/>
        <family val="2"/>
      </rPr>
      <t xml:space="preserve">fare prices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>efficient networks</t>
    </r>
    <r>
      <rPr>
        <sz val="12"/>
        <rFont val="Arial"/>
        <family val="2"/>
      </rPr>
      <t xml:space="preserve"> (which decrease distances travelled and decrease empty vehicle travels).</t>
    </r>
  </si>
  <si>
    <t>Vehicle cost</t>
  </si>
  <si>
    <r>
      <t xml:space="preserve">Dependent variables </t>
    </r>
    <r>
      <rPr>
        <sz val="10"/>
        <rFont val="Arial"/>
        <family val="2"/>
      </rPr>
      <t>(from Parameters sheet)</t>
    </r>
  </si>
  <si>
    <t>Medium general:</t>
  </si>
  <si>
    <t>Short general:</t>
  </si>
  <si>
    <t>Cost / years</t>
  </si>
  <si>
    <t>Km p.a. / int. rate</t>
  </si>
  <si>
    <t xml:space="preserve">Trips per year </t>
  </si>
  <si>
    <r>
      <t>Trips</t>
    </r>
    <r>
      <rPr>
        <sz val="10"/>
        <rFont val="Arial"/>
        <family val="0"/>
      </rPr>
      <t xml:space="preserve"> per day - </t>
    </r>
    <r>
      <rPr>
        <b/>
        <sz val="10"/>
        <rFont val="Arial"/>
        <family val="2"/>
      </rPr>
      <t>low</t>
    </r>
  </si>
  <si>
    <r>
      <t xml:space="preserve">Trips per day - </t>
    </r>
    <r>
      <rPr>
        <b/>
        <sz val="10"/>
        <rFont val="Arial"/>
        <family val="2"/>
      </rPr>
      <t>high</t>
    </r>
  </si>
  <si>
    <r>
      <t xml:space="preserve">Capacity factor for peak hour </t>
    </r>
    <r>
      <rPr>
        <sz val="10"/>
        <rFont val="Arial"/>
        <family val="2"/>
      </rPr>
      <t>(of daily travels)</t>
    </r>
  </si>
  <si>
    <r>
      <t xml:space="preserve">Trip time </t>
    </r>
    <r>
      <rPr>
        <sz val="10"/>
        <rFont val="Arial"/>
        <family val="0"/>
      </rPr>
      <t>in hours</t>
    </r>
  </si>
  <si>
    <r>
      <t xml:space="preserve">Average </t>
    </r>
    <r>
      <rPr>
        <sz val="10"/>
        <rFont val="Arial"/>
        <family val="2"/>
      </rPr>
      <t xml:space="preserve">vehicle </t>
    </r>
    <r>
      <rPr>
        <b/>
        <sz val="10"/>
        <rFont val="Arial"/>
        <family val="2"/>
      </rPr>
      <t xml:space="preserve">speed </t>
    </r>
    <r>
      <rPr>
        <sz val="10"/>
        <rFont val="Arial"/>
        <family val="0"/>
      </rPr>
      <t xml:space="preserve">in meters (per second ) and in km/h </t>
    </r>
  </si>
  <si>
    <t>Empty Vehicles factor / Vehicle occupancy in pass.</t>
  </si>
  <si>
    <r>
      <t>Ticket price</t>
    </r>
    <r>
      <rPr>
        <sz val="10"/>
        <rFont val="Arial"/>
        <family val="2"/>
      </rPr>
      <t xml:space="preserve"> - average (function of average trip length for this network)</t>
    </r>
  </si>
  <si>
    <t>INCOME annual</t>
  </si>
  <si>
    <r>
      <t xml:space="preserve">Capacity of one single track </t>
    </r>
    <r>
      <rPr>
        <sz val="10"/>
        <rFont val="Arial"/>
        <family val="2"/>
      </rPr>
      <t>per hour</t>
    </r>
  </si>
  <si>
    <r>
      <t xml:space="preserve">Capacity requirement </t>
    </r>
    <r>
      <rPr>
        <sz val="10"/>
        <rFont val="Arial"/>
        <family val="2"/>
      </rPr>
      <t>(in passengers per hour)</t>
    </r>
  </si>
  <si>
    <t>Ticket price (increase + evt subsidies)</t>
  </si>
  <si>
    <t>Empty vehicles (reduction) and shorter distances</t>
  </si>
  <si>
    <t>Electric Power grid</t>
  </si>
  <si>
    <r>
      <t>Electric Power</t>
    </r>
    <r>
      <rPr>
        <sz val="10"/>
        <rFont val="Arial"/>
        <family val="0"/>
      </rPr>
      <t xml:space="preserve"> grid</t>
    </r>
  </si>
  <si>
    <t>Alternative</t>
  </si>
  <si>
    <t>10 years</t>
  </si>
  <si>
    <t>Planning and contigencies</t>
  </si>
  <si>
    <t>In $ US millions</t>
  </si>
  <si>
    <t>Annual cost distribution with 3 downwriting scenarios - O&amp;M plus capital costs</t>
  </si>
  <si>
    <t xml:space="preserve">Electricity usage for heating </t>
  </si>
  <si>
    <t>Electricity usage for propulsion per km</t>
  </si>
  <si>
    <r>
      <t xml:space="preserve">Fixed facilities </t>
    </r>
    <r>
      <rPr>
        <sz val="10"/>
        <rFont val="Arial"/>
        <family val="2"/>
      </rPr>
      <t>(Track, Stations and Central Facilities)</t>
    </r>
  </si>
  <si>
    <t>Fixed facilities + control system</t>
  </si>
  <si>
    <t>Service of control system ( % of  investments)</t>
  </si>
  <si>
    <t>OPERATING PROFITS BEFORE TAX  - Differentiated downwriting : 3+75 years</t>
  </si>
  <si>
    <t>OPERATING PROFITS BEFORE TAX  : 3+25 years general downwriting</t>
  </si>
  <si>
    <t>OPERATING PROFITS BEFORE TAX  : 3+10 years general downwriting</t>
  </si>
  <si>
    <t xml:space="preserve">Cost per km - 25 years general downwriting </t>
  </si>
  <si>
    <t>Annual net expenses at 3+25 years general downwriting</t>
  </si>
  <si>
    <t>Tracks total</t>
  </si>
  <si>
    <t>in NOK crowns</t>
  </si>
  <si>
    <t>Nok/US dollar</t>
  </si>
  <si>
    <t>Factor of higher traffic - (combination of higher mode split etc)</t>
  </si>
  <si>
    <r>
      <t xml:space="preserve">Mode split to Taxi 2000 </t>
    </r>
    <r>
      <rPr>
        <sz val="10"/>
        <rFont val="Arial"/>
        <family val="2"/>
      </rPr>
      <t>(the rest to other transport modes,: bus, cars, bicycles etc)</t>
    </r>
  </si>
  <si>
    <r>
      <t xml:space="preserve">Total trips per day </t>
    </r>
    <r>
      <rPr>
        <sz val="10"/>
        <rFont val="Arial"/>
        <family val="2"/>
      </rPr>
      <t>(for all modes of transport)</t>
    </r>
  </si>
  <si>
    <t>Technical parameters</t>
  </si>
  <si>
    <t>Cost parameters</t>
  </si>
  <si>
    <t>25 general</t>
  </si>
  <si>
    <t>75 differentiated</t>
  </si>
  <si>
    <t>Long differentiated downwriting 75 years:</t>
  </si>
  <si>
    <t>Total capital costs - 25 years general downwriting</t>
  </si>
  <si>
    <r>
      <t xml:space="preserve">Technical min headway </t>
    </r>
    <r>
      <rPr>
        <sz val="10"/>
        <rFont val="Arial"/>
        <family val="2"/>
      </rPr>
      <t xml:space="preserve">in seconds and meters and </t>
    </r>
    <r>
      <rPr>
        <b/>
        <sz val="10"/>
        <rFont val="Arial"/>
        <family val="2"/>
      </rPr>
      <t xml:space="preserve">Vehicles per hour </t>
    </r>
  </si>
  <si>
    <r>
      <t xml:space="preserve">Ticket price per km </t>
    </r>
    <r>
      <rPr>
        <sz val="10"/>
        <rFont val="Arial"/>
        <family val="2"/>
      </rPr>
      <t>(making ticket price a function of trip length in km')</t>
    </r>
  </si>
  <si>
    <r>
      <t xml:space="preserve">Average </t>
    </r>
    <r>
      <rPr>
        <b/>
        <sz val="10"/>
        <rFont val="Arial"/>
        <family val="2"/>
      </rPr>
      <t>net trip length</t>
    </r>
    <r>
      <rPr>
        <sz val="10"/>
        <rFont val="Arial"/>
        <family val="2"/>
      </rPr>
      <t xml:space="preserve"> km for track 1, 2, and 3 (empirical)</t>
    </r>
  </si>
  <si>
    <r>
      <t>Ticket price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average </t>
    </r>
    <r>
      <rPr>
        <sz val="10"/>
        <rFont val="Arial"/>
        <family val="2"/>
      </rPr>
      <t xml:space="preserve">(fare in 1000 US $) </t>
    </r>
  </si>
  <si>
    <t xml:space="preserve">Sensitivity analysis - Fares cost for x % interest rate / stock- or bond yield, for 18  scenarios - in US dollars </t>
  </si>
  <si>
    <t>25 years</t>
  </si>
  <si>
    <t>75 years differentiated</t>
  </si>
  <si>
    <t xml:space="preserve">Interest cost for contingencies </t>
  </si>
  <si>
    <t xml:space="preserve">Interest costs for of fixed facilities </t>
  </si>
  <si>
    <t xml:space="preserve">Interest costs for vehicles </t>
  </si>
  <si>
    <t xml:space="preserve">Interest costs for control system </t>
  </si>
  <si>
    <t>Communication system</t>
  </si>
  <si>
    <r>
      <t xml:space="preserve">The first 3 years have no income, year 4 and 5 count as only one full income year. </t>
    </r>
    <r>
      <rPr>
        <b/>
        <sz val="14"/>
        <rFont val="Arial"/>
        <family val="2"/>
      </rPr>
      <t>Full income per year is achieved from year 6</t>
    </r>
    <r>
      <rPr>
        <sz val="14"/>
        <rFont val="Arial"/>
        <family val="2"/>
      </rPr>
      <t xml:space="preserve"> after start of planning.</t>
    </r>
  </si>
  <si>
    <t xml:space="preserve">Pink cells indicate particularly high US costs </t>
  </si>
  <si>
    <t xml:space="preserve">Software royalty </t>
  </si>
  <si>
    <t>Tracks</t>
  </si>
  <si>
    <t>Stations</t>
  </si>
  <si>
    <t>Central Facilities</t>
  </si>
  <si>
    <t>Software lease per vehicle per year</t>
  </si>
  <si>
    <t xml:space="preserve">EU = 80 % </t>
  </si>
  <si>
    <t xml:space="preserve">Norway = 40 % </t>
  </si>
  <si>
    <t>Alternatives for faster downwriting :</t>
  </si>
  <si>
    <r>
      <t xml:space="preserve">Ticket price </t>
    </r>
    <r>
      <rPr>
        <sz val="14"/>
        <rFont val="Arial"/>
        <family val="0"/>
      </rPr>
      <t xml:space="preserve">is preliminary set at the cost price minus subsidies for average passengerkilometers - for the cheapest public transport in Oslo : the subway system </t>
    </r>
  </si>
  <si>
    <r>
      <t xml:space="preserve">The </t>
    </r>
    <r>
      <rPr>
        <b/>
        <sz val="14"/>
        <rFont val="Arial"/>
        <family val="2"/>
      </rPr>
      <t xml:space="preserve">downwriting scenarios </t>
    </r>
    <r>
      <rPr>
        <sz val="14"/>
        <rFont val="Arial"/>
        <family val="0"/>
      </rPr>
      <t>used for IRR and NPV have an additional 3 years included due to the 3 year planning and construction period</t>
    </r>
  </si>
  <si>
    <t>Income parameters</t>
  </si>
  <si>
    <t>Comments :</t>
  </si>
  <si>
    <t>Yellow cells indicate control variables</t>
  </si>
  <si>
    <t>Alternatives:</t>
  </si>
  <si>
    <r>
      <t xml:space="preserve">Income from </t>
    </r>
    <r>
      <rPr>
        <b/>
        <sz val="10"/>
        <rFont val="Arial"/>
        <family val="2"/>
      </rPr>
      <t xml:space="preserve">advertisment </t>
    </r>
    <r>
      <rPr>
        <sz val="10"/>
        <rFont val="Arial"/>
        <family val="2"/>
      </rPr>
      <t xml:space="preserve">on vehicles </t>
    </r>
  </si>
  <si>
    <r>
      <t xml:space="preserve">Income from </t>
    </r>
    <r>
      <rPr>
        <b/>
        <sz val="10"/>
        <rFont val="Arial"/>
        <family val="2"/>
      </rPr>
      <t xml:space="preserve">advertisment </t>
    </r>
    <r>
      <rPr>
        <sz val="10"/>
        <rFont val="Arial"/>
        <family val="2"/>
      </rPr>
      <t xml:space="preserve">on stations  </t>
    </r>
  </si>
  <si>
    <t>All figures in million US $, unlkess otherwise stated</t>
  </si>
  <si>
    <t>(i.e. 50% of market price)</t>
  </si>
  <si>
    <t>Networks 1-2-3</t>
  </si>
  <si>
    <r>
      <t xml:space="preserve">Capital cost distribution with 6 scenarios </t>
    </r>
    <r>
      <rPr>
        <sz val="16"/>
        <rFont val="Arial"/>
        <family val="2"/>
      </rPr>
      <t>(- 3 track scenarios and each with 2 traffic scenarios)</t>
    </r>
  </si>
  <si>
    <t>3 indicates stage 2 - low density traffic</t>
  </si>
  <si>
    <t>5 indicates stage 3 - low density traffic</t>
  </si>
  <si>
    <t>chosen for this illustration of expansion of the network.</t>
  </si>
  <si>
    <t xml:space="preserve">Employment  </t>
  </si>
  <si>
    <t xml:space="preserve">Land rent </t>
  </si>
  <si>
    <t>Service of control system</t>
  </si>
  <si>
    <r>
      <t xml:space="preserve">O&amp;M annual cost distribution with 6 scenarios </t>
    </r>
    <r>
      <rPr>
        <sz val="16"/>
        <rFont val="Arial"/>
        <family val="2"/>
      </rPr>
      <t>(- 3 track scenarios and each with 2 traffic scenarios)</t>
    </r>
  </si>
  <si>
    <t>(Operation and maintenance)</t>
  </si>
  <si>
    <t>2 different traffic densities, thereby showing 6 scenarios.</t>
  </si>
  <si>
    <t>The latter also increases the former effect.</t>
  </si>
  <si>
    <t>The charts show 3 construction stages and each with</t>
  </si>
  <si>
    <t>the charts show 3 construction stages and each with</t>
  </si>
  <si>
    <t xml:space="preserve">Electricity propulsion </t>
  </si>
  <si>
    <t xml:space="preserve">Electricity heating </t>
  </si>
  <si>
    <t>Maintenance 1</t>
  </si>
  <si>
    <t xml:space="preserve">Maintenance 2 </t>
  </si>
  <si>
    <t xml:space="preserve">Maintenance 1 means per km travelled </t>
  </si>
  <si>
    <t xml:space="preserve">Maintenance 2 means of investment </t>
  </si>
  <si>
    <t>Employment</t>
  </si>
  <si>
    <t>Employment  (minimum + per km track)</t>
  </si>
  <si>
    <t>Cost factors</t>
  </si>
  <si>
    <t>Investment in $ US millions</t>
  </si>
  <si>
    <t>For a higher resolution, the following chart (based on the same data) is narrowed down to track 1 &amp; 2 :</t>
  </si>
  <si>
    <t>For a higher resolution, the following chart (based on the same data) is narrowed down to  track 1  :</t>
  </si>
  <si>
    <r>
      <t xml:space="preserve">Real headway </t>
    </r>
    <r>
      <rPr>
        <sz val="10"/>
        <rFont val="Arial"/>
        <family val="2"/>
      </rPr>
      <t>during rush hour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seconds and meters for</t>
    </r>
    <r>
      <rPr>
        <b/>
        <sz val="10"/>
        <rFont val="Arial"/>
        <family val="2"/>
      </rPr>
      <t xml:space="preserve"> 1st track - low  traffic</t>
    </r>
  </si>
  <si>
    <r>
      <t>Real headway during rush hour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seconds and meters for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1st track</t>
    </r>
    <r>
      <rPr>
        <b/>
        <sz val="10"/>
        <rFont val="Arial"/>
        <family val="2"/>
      </rPr>
      <t xml:space="preserve"> - high traffic</t>
    </r>
  </si>
  <si>
    <t>Downwriting of fixed facilities</t>
  </si>
  <si>
    <t xml:space="preserve">Downwriting planning and development </t>
  </si>
  <si>
    <t xml:space="preserve">Downwriting of vehicles </t>
  </si>
  <si>
    <t xml:space="preserve">Downwriting of control system </t>
  </si>
  <si>
    <t xml:space="preserve">Interest cost for planning and development  </t>
  </si>
  <si>
    <t xml:space="preserve">Interest cost for planning and development </t>
  </si>
  <si>
    <t>Interest cost for planning and development</t>
  </si>
  <si>
    <t>Years in operation</t>
  </si>
  <si>
    <t xml:space="preserve">Medium downwriting time </t>
  </si>
  <si>
    <r>
      <t>Planning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development </t>
    </r>
    <r>
      <rPr>
        <sz val="10"/>
        <rFont val="Arial"/>
        <family val="2"/>
      </rPr>
      <t xml:space="preserve">basic + % of hardware investment </t>
    </r>
  </si>
  <si>
    <r>
      <t>Contingencies</t>
    </r>
    <r>
      <rPr>
        <sz val="10"/>
        <rFont val="Arial"/>
        <family val="2"/>
      </rPr>
      <t xml:space="preserve"> basic + % of hardware investment  </t>
    </r>
  </si>
  <si>
    <r>
      <t xml:space="preserve">Trip time for vehicle </t>
    </r>
    <r>
      <rPr>
        <sz val="10"/>
        <rFont val="Arial"/>
        <family val="0"/>
      </rPr>
      <t>in minutes (including empty traffic)</t>
    </r>
  </si>
  <si>
    <r>
      <t>Travel per vehicle</t>
    </r>
    <r>
      <rPr>
        <sz val="10"/>
        <rFont val="Arial"/>
        <family val="2"/>
      </rPr>
      <t xml:space="preserve"> per year - low</t>
    </r>
  </si>
  <si>
    <r>
      <t>Travel per vehicle</t>
    </r>
    <r>
      <rPr>
        <sz val="10"/>
        <rFont val="Arial"/>
        <family val="2"/>
      </rPr>
      <t xml:space="preserve"> per year - high</t>
    </r>
  </si>
  <si>
    <r>
      <t>Stations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outside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Amount </t>
    </r>
    <r>
      <rPr>
        <sz val="10"/>
        <rFont val="Arial"/>
        <family val="2"/>
      </rPr>
      <t xml:space="preserve">per km and network and </t>
    </r>
    <r>
      <rPr>
        <b/>
        <sz val="10"/>
        <rFont val="Arial"/>
        <family val="2"/>
      </rPr>
      <t>cost</t>
    </r>
  </si>
  <si>
    <r>
      <t xml:space="preserve">Stations inside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Amount</t>
    </r>
    <r>
      <rPr>
        <sz val="10"/>
        <rFont val="Arial"/>
        <family val="2"/>
      </rPr>
      <t xml:space="preserve"> per km and network and </t>
    </r>
    <r>
      <rPr>
        <b/>
        <sz val="10"/>
        <rFont val="Arial"/>
        <family val="2"/>
      </rPr>
      <t>cost</t>
    </r>
  </si>
  <si>
    <t>(in US dollars)</t>
  </si>
  <si>
    <t>Net total annual costs for 25 years general downwriting</t>
  </si>
  <si>
    <r>
      <t xml:space="preserve">Total annual costs </t>
    </r>
    <r>
      <rPr>
        <sz val="10"/>
        <rFont val="Arial"/>
        <family val="0"/>
      </rPr>
      <t xml:space="preserve">(operating + capital costs) </t>
    </r>
    <r>
      <rPr>
        <b/>
        <sz val="10"/>
        <rFont val="Arial"/>
        <family val="2"/>
      </rPr>
      <t xml:space="preserve">with differentiated downwriting </t>
    </r>
  </si>
  <si>
    <t>Annual total costs minus extra income</t>
  </si>
  <si>
    <t>Annual operating costs minus extra income</t>
  </si>
  <si>
    <t xml:space="preserve">Annual (fixed) capital costs with differentiated downwriting </t>
  </si>
  <si>
    <t>IRR - Internal Rate of Return - in 18  scenarios</t>
  </si>
  <si>
    <t>PRT costs - IRR &amp; NPV</t>
  </si>
  <si>
    <t>Network 1 :</t>
  </si>
  <si>
    <t>Network 2 :</t>
  </si>
  <si>
    <t>Network 3 :</t>
  </si>
  <si>
    <r>
      <t xml:space="preserve">Traffic density </t>
    </r>
    <r>
      <rPr>
        <sz val="10"/>
        <color indexed="8"/>
        <rFont val="Arial"/>
        <family val="2"/>
      </rPr>
      <t xml:space="preserve">- Pass. kms per day and km single traxk - </t>
    </r>
    <r>
      <rPr>
        <b/>
        <sz val="10"/>
        <color indexed="8"/>
        <rFont val="Arial"/>
        <family val="2"/>
      </rPr>
      <t>low</t>
    </r>
  </si>
  <si>
    <r>
      <t xml:space="preserve">Traffic density - Pass. kms per day and km single traxk - </t>
    </r>
    <r>
      <rPr>
        <b/>
        <sz val="10"/>
        <color indexed="8"/>
        <rFont val="Arial"/>
        <family val="2"/>
      </rPr>
      <t>high</t>
    </r>
  </si>
  <si>
    <t>Income</t>
  </si>
  <si>
    <t xml:space="preserve">1 stage </t>
  </si>
  <si>
    <t>2 stage</t>
  </si>
  <si>
    <t>3 stage</t>
  </si>
  <si>
    <t xml:space="preserve">Total costprice 'break even' per year for 18  scenarios - in million US dollars </t>
  </si>
  <si>
    <t xml:space="preserve">Per km - total costprice 'break even' per year for 18  scenarios - in million US dollars </t>
  </si>
  <si>
    <t>Traffic density</t>
  </si>
  <si>
    <t>(Pass. kms per day and km single track )</t>
  </si>
  <si>
    <t>Traffic</t>
  </si>
  <si>
    <t xml:space="preserve">Fare price per km in  US$ </t>
  </si>
  <si>
    <t>(Crown rate to US dollars)</t>
  </si>
  <si>
    <r>
      <t xml:space="preserve">Average </t>
    </r>
    <r>
      <rPr>
        <b/>
        <sz val="10"/>
        <rFont val="Arial"/>
        <family val="2"/>
      </rPr>
      <t>net trip length</t>
    </r>
    <r>
      <rPr>
        <sz val="10"/>
        <rFont val="Arial"/>
        <family val="2"/>
      </rPr>
      <t xml:space="preserve"> km </t>
    </r>
  </si>
  <si>
    <t>Profit per year</t>
  </si>
  <si>
    <t>25 years scenario</t>
  </si>
  <si>
    <t>75 years scenario</t>
  </si>
  <si>
    <t>Income per km track</t>
  </si>
  <si>
    <t xml:space="preserve">Profit per km track per year </t>
  </si>
  <si>
    <t>(Pass. kms per day and per km single track )</t>
  </si>
  <si>
    <t>Case #</t>
  </si>
  <si>
    <r>
      <t xml:space="preserve">Case </t>
    </r>
    <r>
      <rPr>
        <sz val="10"/>
        <rFont val="Arial"/>
        <family val="2"/>
      </rPr>
      <t>#</t>
    </r>
  </si>
  <si>
    <t>N. Crowns</t>
  </si>
  <si>
    <r>
      <t xml:space="preserve">Trip time for passenger </t>
    </r>
    <r>
      <rPr>
        <sz val="10"/>
        <rFont val="Arial"/>
        <family val="2"/>
      </rPr>
      <t>in minutes</t>
    </r>
  </si>
  <si>
    <t>READING ADVICE :</t>
  </si>
  <si>
    <t>GENERAL INFORMATION  :</t>
  </si>
  <si>
    <r>
      <t xml:space="preserve">Realistic </t>
    </r>
    <r>
      <rPr>
        <b/>
        <sz val="10"/>
        <rFont val="Arial"/>
        <family val="2"/>
      </rPr>
      <t xml:space="preserve">Track Throughput - </t>
    </r>
    <r>
      <rPr>
        <sz val="10"/>
        <rFont val="Arial"/>
        <family val="2"/>
      </rPr>
      <t xml:space="preserve">per hour + </t>
    </r>
    <r>
      <rPr>
        <b/>
        <sz val="10"/>
        <rFont val="Arial"/>
        <family val="2"/>
      </rPr>
      <t>Theoretical Capacity</t>
    </r>
    <r>
      <rPr>
        <sz val="10"/>
        <rFont val="Arial"/>
        <family val="2"/>
      </rPr>
      <t xml:space="preserve"> with full vehicles</t>
    </r>
  </si>
  <si>
    <r>
      <t xml:space="preserve">Cost per passenger km - in 6 scenarios </t>
    </r>
    <r>
      <rPr>
        <sz val="16"/>
        <rFont val="Arial"/>
        <family val="2"/>
      </rPr>
      <t>(- 3 track scenarios and each with 2 traffic scenarios)</t>
    </r>
  </si>
  <si>
    <t>Annual travelled kms</t>
  </si>
  <si>
    <r>
      <t>O&amp;M Costs p.a.</t>
    </r>
    <r>
      <rPr>
        <sz val="10"/>
        <rFont val="Arial"/>
        <family val="2"/>
      </rPr>
      <t xml:space="preserve"> (in million US $)</t>
    </r>
  </si>
  <si>
    <r>
      <t>Total costs p.a.</t>
    </r>
    <r>
      <rPr>
        <sz val="10"/>
        <rFont val="Arial"/>
        <family val="2"/>
      </rPr>
      <t xml:space="preserve"> (in million US $)</t>
    </r>
  </si>
  <si>
    <r>
      <t xml:space="preserve">O&amp;M Costs </t>
    </r>
    <r>
      <rPr>
        <sz val="10"/>
        <rFont val="Arial"/>
        <family val="2"/>
      </rPr>
      <t xml:space="preserve">per passenger km </t>
    </r>
  </si>
  <si>
    <r>
      <t xml:space="preserve">Cap Cost p.a. </t>
    </r>
    <r>
      <rPr>
        <sz val="10"/>
        <rFont val="Arial"/>
        <family val="2"/>
      </rPr>
      <t xml:space="preserve">(in million US $) -  </t>
    </r>
    <r>
      <rPr>
        <b/>
        <sz val="10"/>
        <rFont val="Arial"/>
        <family val="2"/>
      </rPr>
      <t>25 year scenario</t>
    </r>
  </si>
  <si>
    <r>
      <t xml:space="preserve">Total costs </t>
    </r>
    <r>
      <rPr>
        <sz val="10"/>
        <rFont val="Arial"/>
        <family val="2"/>
      </rPr>
      <t xml:space="preserve">per passenger km </t>
    </r>
  </si>
  <si>
    <t>10 years general write off period</t>
  </si>
  <si>
    <t>25 years general write off period</t>
  </si>
  <si>
    <t>75 years differentiated write off period</t>
  </si>
  <si>
    <t xml:space="preserve">The most condensed info is found on this sheet, on NPV, IRR, Costpkm,  and Costprice, Cost, Cap, and O&amp;M </t>
  </si>
  <si>
    <r>
      <t xml:space="preserve">Cap Cost  </t>
    </r>
    <r>
      <rPr>
        <sz val="10"/>
        <rFont val="Arial"/>
        <family val="2"/>
      </rPr>
      <t>per passenger km</t>
    </r>
    <r>
      <rPr>
        <b/>
        <sz val="10"/>
        <rFont val="Arial"/>
        <family val="2"/>
      </rPr>
      <t xml:space="preserve"> -  25 year scenario</t>
    </r>
  </si>
  <si>
    <t>Monorail</t>
  </si>
  <si>
    <t>SWE</t>
  </si>
  <si>
    <t>Total per trip</t>
  </si>
  <si>
    <t>Time benefit (hours)</t>
  </si>
  <si>
    <t>Hour valuation in money (US$)</t>
  </si>
  <si>
    <t>Time benefit (mill US $)</t>
  </si>
  <si>
    <t>Trips per year (mill)</t>
  </si>
  <si>
    <t>SWE benefits in min.</t>
  </si>
  <si>
    <t>SWE benefits in hours</t>
  </si>
  <si>
    <t>Speed</t>
  </si>
  <si>
    <t>Time benefits with SWE rather than monorail :</t>
  </si>
  <si>
    <t>Trav km per year (mill)</t>
  </si>
  <si>
    <t>Total benefit (mill US $)</t>
  </si>
  <si>
    <t>Hour valuation in money (US$) for waiting time and travel time</t>
  </si>
  <si>
    <t>Trip interval</t>
  </si>
  <si>
    <t>Waiting time</t>
  </si>
  <si>
    <t>Travel time benefit per year</t>
  </si>
  <si>
    <t>Waiting time benefit per year</t>
  </si>
  <si>
    <t>10 general (millions)</t>
  </si>
  <si>
    <t xml:space="preserve">NPV - Net Present Value - in 18  scenarios - in million US $ dollars (for x % interest rate / stock- or bond yield) </t>
  </si>
  <si>
    <t>NPV for time benefit only</t>
  </si>
  <si>
    <t>Total NPV with time benefit</t>
  </si>
  <si>
    <t>Time per km</t>
  </si>
  <si>
    <t>Monorail (km per hour and  minutes)</t>
  </si>
  <si>
    <t>SWE (Taxi2000)</t>
  </si>
  <si>
    <t>This is so even when traditional monorail is given the benefits of an average speed of 31 kmph and a departure every 5 minutes</t>
  </si>
  <si>
    <t>Additionally, SWE is only going at a speed of 36 kmph</t>
  </si>
  <si>
    <t xml:space="preserve">NB : This NPV includes the benefit of time saved </t>
  </si>
  <si>
    <t>75 differentiated (note)</t>
  </si>
  <si>
    <t>Time benefits for SWE (Taxi2000) against monorail : 3 times increase of NPV</t>
  </si>
  <si>
    <t>The benefit for time saved increases the Net Present Value by 3 times - measured in money</t>
  </si>
  <si>
    <r>
      <t xml:space="preserve">Note: The NPV </t>
    </r>
    <r>
      <rPr>
        <b/>
        <sz val="10"/>
        <rFont val="Arial"/>
        <family val="2"/>
      </rPr>
      <t xml:space="preserve">formula </t>
    </r>
    <r>
      <rPr>
        <sz val="10"/>
        <rFont val="Arial"/>
        <family val="0"/>
      </rPr>
      <t xml:space="preserve">does not accept more than 29 years   </t>
    </r>
  </si>
  <si>
    <t>The 75 year time estimate here is therefore rough: Simply a 25 year estimate times 3, minus 25 %.</t>
  </si>
  <si>
    <t xml:space="preserve">(unlike how NPV has been estimated here for non-time costs and benefits - in a more elaborated way). </t>
  </si>
  <si>
    <r>
      <t>This means that the</t>
    </r>
    <r>
      <rPr>
        <b/>
        <sz val="12"/>
        <rFont val="Arial"/>
        <family val="2"/>
      </rPr>
      <t xml:space="preserve"> primary beneficiany is the rider,</t>
    </r>
    <r>
      <rPr>
        <sz val="12"/>
        <rFont val="Arial"/>
        <family val="2"/>
      </rPr>
      <t xml:space="preserve"> the customer (and of course the financier - often the taxpayer)</t>
    </r>
  </si>
  <si>
    <t>Additionally :</t>
  </si>
  <si>
    <t>Travelled kms per year net</t>
  </si>
  <si>
    <t>Travelled kms per year gross</t>
  </si>
  <si>
    <t>Kolsås-Jar</t>
  </si>
  <si>
    <t>Ditto + Lysaker eller Stabæk</t>
  </si>
  <si>
    <t>Ditto + Rykkin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</si>
</sst>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.00_-;\-* #,##0.00_-;_-* &quot;-&quot;??_-;_-@_-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_ * #,##0_ ;_ * \-#,##0_ ;_ * &quot;-&quot;??_ ;_ @_ "/>
    <numFmt numFmtId="179" formatCode="_ * #,##0.0_ ;_ * \-#,##0.0_ ;_ * &quot;-&quot;??_ ;_ @_ "/>
    <numFmt numFmtId="180" formatCode="_ * #,##0.000_ ;_ * \-#,##0.000_ ;_ * &quot;-&quot;??_ ;_ @_ "/>
    <numFmt numFmtId="181" formatCode="_(* #,##0.0_);_(* \(#,##0.0\);_(* &quot;-&quot;??_);_(@_)"/>
    <numFmt numFmtId="182" formatCode="0.0%"/>
    <numFmt numFmtId="183" formatCode="_(* #,##0.000_);_(* \(#,##0.000\);_(* &quot;-&quot;??_);_(@_)"/>
    <numFmt numFmtId="184" formatCode="[$NOK]\ #,##0.00;[Red]\-[$NOK]\ #,##0.00"/>
    <numFmt numFmtId="185" formatCode="0.0\ %"/>
    <numFmt numFmtId="186" formatCode="_-* #,##0.000_-;\-* #,##0.000_-;_-* &quot;-&quot;??_-;_-@_-"/>
    <numFmt numFmtId="187" formatCode="_ * #,##0.0_ ;_ * \-#,##0.0_ ;_ * &quot;-&quot;???_ ;_ @_ "/>
    <numFmt numFmtId="188" formatCode="_ * #,##0.0_ ;_ * \-#,##0.0_ ;_ * &quot;-&quot;?_ ;_ @_ "/>
    <numFmt numFmtId="189" formatCode="_ * #,##0.0000_ ;_ * \-#,##0.0000_ ;_ * &quot;-&quot;??_ ;_ @_ "/>
    <numFmt numFmtId="190" formatCode="_ * #,##0.00000_ ;_ * \-#,##0.00000_ ;_ * &quot;-&quot;??_ ;_ @_ "/>
    <numFmt numFmtId="191" formatCode="_ * #,##0.000_ ;_ * \-#,##0.000_ ;_ * &quot;-&quot;???_ ;_ @_ "/>
  </numFmts>
  <fonts count="4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4.75"/>
      <name val="Arial"/>
      <family val="0"/>
    </font>
    <font>
      <b/>
      <sz val="15.25"/>
      <name val="Arial"/>
      <family val="0"/>
    </font>
    <font>
      <sz val="16"/>
      <name val="Arial"/>
      <family val="2"/>
    </font>
    <font>
      <b/>
      <i/>
      <sz val="12"/>
      <name val="Arial"/>
      <family val="2"/>
    </font>
    <font>
      <b/>
      <sz val="10.5"/>
      <color indexed="13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2"/>
      <color indexed="13"/>
      <name val="Arial"/>
      <family val="2"/>
    </font>
    <font>
      <sz val="15.25"/>
      <name val="Arial"/>
      <family val="2"/>
    </font>
    <font>
      <b/>
      <i/>
      <sz val="9.75"/>
      <name val="Arial"/>
      <family val="2"/>
    </font>
    <font>
      <b/>
      <i/>
      <sz val="10"/>
      <name val="Arial"/>
      <family val="2"/>
    </font>
    <font>
      <sz val="9.25"/>
      <name val="Arial"/>
      <family val="0"/>
    </font>
    <font>
      <b/>
      <i/>
      <sz val="9.25"/>
      <name val="Arial"/>
      <family val="2"/>
    </font>
    <font>
      <sz val="9.5"/>
      <name val="Arial"/>
      <family val="0"/>
    </font>
    <font>
      <b/>
      <i/>
      <sz val="9.5"/>
      <name val="Arial"/>
      <family val="2"/>
    </font>
    <font>
      <b/>
      <sz val="9.5"/>
      <name val="Arial"/>
      <family val="2"/>
    </font>
    <font>
      <sz val="14.25"/>
      <name val="Arial"/>
      <family val="0"/>
    </font>
    <font>
      <b/>
      <sz val="14.25"/>
      <name val="Arial"/>
      <family val="2"/>
    </font>
    <font>
      <sz val="10"/>
      <color indexed="8"/>
      <name val="Arial"/>
      <family val="2"/>
    </font>
    <font>
      <b/>
      <sz val="12.7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9.75"/>
      <name val="Arial"/>
      <family val="0"/>
    </font>
    <font>
      <b/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173" fontId="1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3" fontId="1" fillId="2" borderId="1" xfId="0" applyNumberFormat="1" applyFont="1" applyFill="1" applyBorder="1" applyAlignment="1">
      <alignment/>
    </xf>
    <xf numFmtId="173" fontId="0" fillId="2" borderId="1" xfId="0" applyNumberFormat="1" applyFill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1" xfId="0" applyNumberFormat="1" applyBorder="1" applyAlignment="1">
      <alignment/>
    </xf>
    <xf numFmtId="173" fontId="1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175" fontId="0" fillId="0" borderId="1" xfId="0" applyNumberFormat="1" applyFont="1" applyBorder="1" applyAlignment="1">
      <alignment/>
    </xf>
    <xf numFmtId="173" fontId="0" fillId="3" borderId="0" xfId="0" applyNumberFormat="1" applyFill="1" applyBorder="1" applyAlignment="1">
      <alignment/>
    </xf>
    <xf numFmtId="174" fontId="0" fillId="3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73" fontId="1" fillId="2" borderId="2" xfId="0" applyNumberFormat="1" applyFont="1" applyFill="1" applyBorder="1" applyAlignment="1">
      <alignment/>
    </xf>
    <xf numFmtId="178" fontId="0" fillId="0" borderId="0" xfId="15" applyNumberFormat="1" applyAlignment="1">
      <alignment/>
    </xf>
    <xf numFmtId="173" fontId="0" fillId="0" borderId="0" xfId="0" applyNumberFormat="1" applyFont="1" applyBorder="1" applyAlignment="1">
      <alignment/>
    </xf>
    <xf numFmtId="173" fontId="1" fillId="4" borderId="0" xfId="0" applyNumberFormat="1" applyFont="1" applyFill="1" applyAlignment="1">
      <alignment/>
    </xf>
    <xf numFmtId="173" fontId="0" fillId="0" borderId="3" xfId="0" applyNumberFormat="1" applyFont="1" applyBorder="1" applyAlignment="1">
      <alignment/>
    </xf>
    <xf numFmtId="173" fontId="0" fillId="0" borderId="0" xfId="0" applyNumberFormat="1" applyFill="1" applyAlignment="1">
      <alignment horizontal="right"/>
    </xf>
    <xf numFmtId="173" fontId="12" fillId="5" borderId="0" xfId="0" applyNumberFormat="1" applyFont="1" applyFill="1" applyAlignment="1">
      <alignment/>
    </xf>
    <xf numFmtId="173" fontId="1" fillId="4" borderId="4" xfId="0" applyNumberFormat="1" applyFont="1" applyFill="1" applyBorder="1" applyAlignment="1">
      <alignment/>
    </xf>
    <xf numFmtId="173" fontId="1" fillId="6" borderId="0" xfId="0" applyNumberFormat="1" applyFont="1" applyFill="1" applyAlignment="1">
      <alignment/>
    </xf>
    <xf numFmtId="173" fontId="0" fillId="6" borderId="5" xfId="0" applyNumberFormat="1" applyFont="1" applyFill="1" applyBorder="1" applyAlignment="1">
      <alignment/>
    </xf>
    <xf numFmtId="173" fontId="0" fillId="0" borderId="5" xfId="0" applyNumberFormat="1" applyFont="1" applyFill="1" applyBorder="1" applyAlignment="1">
      <alignment/>
    </xf>
    <xf numFmtId="173" fontId="1" fillId="6" borderId="5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173" fontId="0" fillId="6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173" fontId="0" fillId="5" borderId="0" xfId="0" applyNumberFormat="1" applyFill="1" applyAlignment="1">
      <alignment/>
    </xf>
    <xf numFmtId="0" fontId="13" fillId="7" borderId="6" xfId="0" applyFont="1" applyFill="1" applyBorder="1" applyAlignment="1" quotePrefix="1">
      <alignment horizontal="left"/>
    </xf>
    <xf numFmtId="173" fontId="0" fillId="7" borderId="7" xfId="0" applyNumberFormat="1" applyFill="1" applyBorder="1" applyAlignment="1">
      <alignment/>
    </xf>
    <xf numFmtId="0" fontId="14" fillId="7" borderId="0" xfId="0" applyFont="1" applyFill="1" applyAlignment="1">
      <alignment/>
    </xf>
    <xf numFmtId="0" fontId="15" fillId="6" borderId="8" xfId="0" applyFont="1" applyFill="1" applyBorder="1" applyAlignment="1" quotePrefix="1">
      <alignment horizontal="center"/>
    </xf>
    <xf numFmtId="181" fontId="1" fillId="0" borderId="9" xfId="15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5" fillId="6" borderId="10" xfId="0" applyFont="1" applyFill="1" applyBorder="1" applyAlignment="1">
      <alignment horizontal="center"/>
    </xf>
    <xf numFmtId="181" fontId="13" fillId="0" borderId="11" xfId="15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10" xfId="15" applyNumberFormat="1" applyBorder="1" applyAlignment="1">
      <alignment horizontal="center"/>
    </xf>
    <xf numFmtId="182" fontId="13" fillId="7" borderId="11" xfId="2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1" fontId="0" fillId="0" borderId="11" xfId="15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1" fontId="0" fillId="0" borderId="12" xfId="15" applyNumberFormat="1" applyBorder="1" applyAlignment="1">
      <alignment horizontal="center"/>
    </xf>
    <xf numFmtId="174" fontId="0" fillId="3" borderId="0" xfId="0" applyNumberFormat="1" applyFill="1" applyBorder="1" applyAlignment="1">
      <alignment/>
    </xf>
    <xf numFmtId="181" fontId="0" fillId="0" borderId="12" xfId="15" applyNumberFormat="1" applyBorder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1" fillId="8" borderId="5" xfId="0" applyFont="1" applyFill="1" applyBorder="1" applyAlignment="1">
      <alignment/>
    </xf>
    <xf numFmtId="0" fontId="0" fillId="8" borderId="5" xfId="0" applyFill="1" applyBorder="1" applyAlignment="1">
      <alignment/>
    </xf>
    <xf numFmtId="0" fontId="1" fillId="0" borderId="11" xfId="0" applyFont="1" applyBorder="1" applyAlignment="1">
      <alignment horizontal="center"/>
    </xf>
    <xf numFmtId="184" fontId="0" fillId="9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3" fontId="1" fillId="4" borderId="1" xfId="0" applyNumberFormat="1" applyFont="1" applyFill="1" applyBorder="1" applyAlignment="1">
      <alignment/>
    </xf>
    <xf numFmtId="180" fontId="0" fillId="0" borderId="0" xfId="15" applyNumberFormat="1" applyAlignment="1">
      <alignment/>
    </xf>
    <xf numFmtId="173" fontId="0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173" fontId="0" fillId="8" borderId="1" xfId="0" applyNumberFormat="1" applyFill="1" applyBorder="1" applyAlignment="1">
      <alignment horizontal="right"/>
    </xf>
    <xf numFmtId="1" fontId="1" fillId="4" borderId="1" xfId="0" applyNumberFormat="1" applyFont="1" applyFill="1" applyBorder="1" applyAlignment="1">
      <alignment/>
    </xf>
    <xf numFmtId="175" fontId="0" fillId="3" borderId="0" xfId="0" applyNumberFormat="1" applyFill="1" applyBorder="1" applyAlignment="1">
      <alignment/>
    </xf>
    <xf numFmtId="0" fontId="0" fillId="0" borderId="13" xfId="0" applyBorder="1" applyAlignment="1">
      <alignment/>
    </xf>
    <xf numFmtId="173" fontId="0" fillId="7" borderId="0" xfId="0" applyNumberFormat="1" applyFont="1" applyFill="1" applyAlignment="1">
      <alignment/>
    </xf>
    <xf numFmtId="173" fontId="1" fillId="7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0" fontId="0" fillId="10" borderId="0" xfId="0" applyFill="1" applyAlignment="1">
      <alignment/>
    </xf>
    <xf numFmtId="0" fontId="1" fillId="6" borderId="0" xfId="0" applyFont="1" applyFill="1" applyAlignment="1">
      <alignment/>
    </xf>
    <xf numFmtId="0" fontId="0" fillId="2" borderId="0" xfId="0" applyFill="1" applyBorder="1" applyAlignment="1">
      <alignment/>
    </xf>
    <xf numFmtId="173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73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73" fontId="1" fillId="2" borderId="0" xfId="0" applyNumberFormat="1" applyFont="1" applyFill="1" applyBorder="1" applyAlignment="1">
      <alignment/>
    </xf>
    <xf numFmtId="0" fontId="1" fillId="6" borderId="5" xfId="0" applyFont="1" applyFill="1" applyBorder="1" applyAlignment="1">
      <alignment/>
    </xf>
    <xf numFmtId="174" fontId="0" fillId="3" borderId="13" xfId="0" applyNumberFormat="1" applyFill="1" applyBorder="1" applyAlignment="1">
      <alignment/>
    </xf>
    <xf numFmtId="174" fontId="0" fillId="0" borderId="0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3" fillId="9" borderId="0" xfId="0" applyFont="1" applyFill="1" applyAlignment="1">
      <alignment/>
    </xf>
    <xf numFmtId="0" fontId="0" fillId="9" borderId="0" xfId="0" applyFill="1" applyAlignment="1">
      <alignment/>
    </xf>
    <xf numFmtId="0" fontId="1" fillId="3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8" fontId="0" fillId="2" borderId="0" xfId="15" applyNumberFormat="1" applyFill="1" applyAlignment="1">
      <alignment/>
    </xf>
    <xf numFmtId="178" fontId="0" fillId="3" borderId="13" xfId="15" applyNumberFormat="1" applyFill="1" applyBorder="1" applyAlignment="1">
      <alignment/>
    </xf>
    <xf numFmtId="178" fontId="0" fillId="0" borderId="13" xfId="15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8" fontId="0" fillId="0" borderId="0" xfId="15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3" fontId="0" fillId="0" borderId="14" xfId="0" applyNumberFormat="1" applyBorder="1" applyAlignment="1">
      <alignment horizontal="right"/>
    </xf>
    <xf numFmtId="173" fontId="1" fillId="3" borderId="0" xfId="0" applyNumberFormat="1" applyFont="1" applyFill="1" applyBorder="1" applyAlignment="1">
      <alignment/>
    </xf>
    <xf numFmtId="173" fontId="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178" fontId="0" fillId="3" borderId="13" xfId="15" applyNumberFormat="1" applyFill="1" applyBorder="1" applyAlignment="1">
      <alignment/>
    </xf>
    <xf numFmtId="178" fontId="0" fillId="0" borderId="13" xfId="15" applyNumberFormat="1" applyFill="1" applyBorder="1" applyAlignment="1">
      <alignment/>
    </xf>
    <xf numFmtId="178" fontId="0" fillId="0" borderId="0" xfId="15" applyNumberFormat="1" applyAlignment="1">
      <alignment/>
    </xf>
    <xf numFmtId="0" fontId="7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0" fillId="0" borderId="7" xfId="0" applyBorder="1" applyAlignment="1">
      <alignment horizontal="center"/>
    </xf>
    <xf numFmtId="183" fontId="0" fillId="0" borderId="7" xfId="0" applyNumberFormat="1" applyBorder="1" applyAlignment="1">
      <alignment horizontal="center"/>
    </xf>
    <xf numFmtId="181" fontId="0" fillId="0" borderId="6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7" xfId="0" applyNumberFormat="1" applyBorder="1" applyAlignment="1">
      <alignment/>
    </xf>
    <xf numFmtId="173" fontId="0" fillId="0" borderId="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11" borderId="0" xfId="0" applyFont="1" applyFill="1" applyAlignment="1">
      <alignment/>
    </xf>
    <xf numFmtId="0" fontId="13" fillId="7" borderId="10" xfId="0" applyFont="1" applyFill="1" applyBorder="1" applyAlignment="1" quotePrefix="1">
      <alignment horizontal="left"/>
    </xf>
    <xf numFmtId="173" fontId="0" fillId="7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1" fillId="12" borderId="13" xfId="0" applyFont="1" applyFill="1" applyBorder="1" applyAlignment="1">
      <alignment/>
    </xf>
    <xf numFmtId="0" fontId="20" fillId="7" borderId="0" xfId="0" applyFont="1" applyFill="1" applyAlignment="1">
      <alignment/>
    </xf>
    <xf numFmtId="0" fontId="1" fillId="0" borderId="0" xfId="0" applyFont="1" applyBorder="1" applyAlignment="1">
      <alignment/>
    </xf>
    <xf numFmtId="173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73" fontId="1" fillId="4" borderId="16" xfId="0" applyNumberFormat="1" applyFont="1" applyFill="1" applyBorder="1" applyAlignment="1">
      <alignment/>
    </xf>
    <xf numFmtId="173" fontId="0" fillId="0" borderId="17" xfId="0" applyNumberFormat="1" applyBorder="1" applyAlignment="1">
      <alignment/>
    </xf>
    <xf numFmtId="173" fontId="1" fillId="0" borderId="18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1" fillId="2" borderId="19" xfId="0" applyNumberFormat="1" applyFont="1" applyFill="1" applyBorder="1" applyAlignment="1">
      <alignment/>
    </xf>
    <xf numFmtId="173" fontId="0" fillId="2" borderId="20" xfId="0" applyNumberFormat="1" applyFill="1" applyBorder="1" applyAlignment="1">
      <alignment/>
    </xf>
    <xf numFmtId="173" fontId="0" fillId="0" borderId="20" xfId="0" applyNumberFormat="1" applyFont="1" applyBorder="1" applyAlignment="1">
      <alignment/>
    </xf>
    <xf numFmtId="173" fontId="1" fillId="13" borderId="3" xfId="0" applyNumberFormat="1" applyFont="1" applyFill="1" applyBorder="1" applyAlignment="1">
      <alignment/>
    </xf>
    <xf numFmtId="2" fontId="0" fillId="13" borderId="1" xfId="0" applyNumberFormat="1" applyFill="1" applyBorder="1" applyAlignment="1">
      <alignment/>
    </xf>
    <xf numFmtId="178" fontId="0" fillId="13" borderId="1" xfId="15" applyNumberFormat="1" applyFill="1" applyBorder="1" applyAlignment="1">
      <alignment/>
    </xf>
    <xf numFmtId="2" fontId="0" fillId="14" borderId="14" xfId="0" applyNumberFormat="1" applyFill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3" fontId="1" fillId="4" borderId="23" xfId="0" applyNumberFormat="1" applyFont="1" applyFill="1" applyBorder="1" applyAlignment="1">
      <alignment/>
    </xf>
    <xf numFmtId="173" fontId="1" fillId="4" borderId="24" xfId="0" applyNumberFormat="1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6" borderId="2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174" fontId="0" fillId="10" borderId="0" xfId="0" applyNumberFormat="1" applyFill="1" applyBorder="1" applyAlignment="1">
      <alignment/>
    </xf>
    <xf numFmtId="174" fontId="0" fillId="10" borderId="20" xfId="0" applyNumberFormat="1" applyFill="1" applyBorder="1" applyAlignment="1">
      <alignment/>
    </xf>
    <xf numFmtId="185" fontId="1" fillId="3" borderId="0" xfId="21" applyNumberFormat="1" applyFon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178" fontId="0" fillId="0" borderId="20" xfId="15" applyNumberFormat="1" applyFont="1" applyFill="1" applyBorder="1" applyAlignment="1">
      <alignment/>
    </xf>
    <xf numFmtId="178" fontId="0" fillId="3" borderId="0" xfId="15" applyNumberFormat="1" applyFill="1" applyBorder="1" applyAlignment="1">
      <alignment/>
    </xf>
    <xf numFmtId="0" fontId="0" fillId="3" borderId="20" xfId="0" applyFill="1" applyBorder="1" applyAlignment="1">
      <alignment/>
    </xf>
    <xf numFmtId="173" fontId="0" fillId="6" borderId="26" xfId="0" applyNumberFormat="1" applyFont="1" applyFill="1" applyBorder="1" applyAlignment="1">
      <alignment/>
    </xf>
    <xf numFmtId="174" fontId="1" fillId="3" borderId="0" xfId="0" applyNumberFormat="1" applyFont="1" applyFill="1" applyBorder="1" applyAlignment="1">
      <alignment/>
    </xf>
    <xf numFmtId="174" fontId="1" fillId="3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4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15" applyNumberFormat="1" applyFill="1" applyBorder="1" applyAlignment="1">
      <alignment/>
    </xf>
    <xf numFmtId="0" fontId="1" fillId="6" borderId="27" xfId="0" applyFont="1" applyFill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14" xfId="0" applyBorder="1" applyAlignment="1">
      <alignment/>
    </xf>
    <xf numFmtId="173" fontId="1" fillId="6" borderId="2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1" fillId="6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1" fillId="6" borderId="27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1" fillId="11" borderId="16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7" xfId="0" applyFill="1" applyBorder="1" applyAlignment="1">
      <alignment/>
    </xf>
    <xf numFmtId="173" fontId="1" fillId="11" borderId="27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3" fontId="0" fillId="3" borderId="20" xfId="0" applyNumberFormat="1" applyFill="1" applyBorder="1" applyAlignment="1">
      <alignment/>
    </xf>
    <xf numFmtId="0" fontId="0" fillId="0" borderId="19" xfId="0" applyBorder="1" applyAlignment="1">
      <alignment/>
    </xf>
    <xf numFmtId="173" fontId="0" fillId="6" borderId="19" xfId="0" applyNumberFormat="1" applyFont="1" applyFill="1" applyBorder="1" applyAlignment="1">
      <alignment/>
    </xf>
    <xf numFmtId="173" fontId="1" fillId="4" borderId="26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73" fontId="0" fillId="6" borderId="4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0" borderId="18" xfId="0" applyFont="1" applyBorder="1" applyAlignment="1">
      <alignment/>
    </xf>
    <xf numFmtId="177" fontId="0" fillId="0" borderId="1" xfId="0" applyNumberFormat="1" applyBorder="1" applyAlignment="1">
      <alignment/>
    </xf>
    <xf numFmtId="0" fontId="0" fillId="0" borderId="14" xfId="0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3" borderId="20" xfId="0" applyNumberFormat="1" applyFont="1" applyFill="1" applyBorder="1" applyAlignment="1">
      <alignment/>
    </xf>
    <xf numFmtId="173" fontId="1" fillId="4" borderId="29" xfId="0" applyNumberFormat="1" applyFont="1" applyFill="1" applyBorder="1" applyAlignment="1">
      <alignment/>
    </xf>
    <xf numFmtId="173" fontId="1" fillId="4" borderId="21" xfId="0" applyNumberFormat="1" applyFont="1" applyFill="1" applyBorder="1" applyAlignment="1">
      <alignment/>
    </xf>
    <xf numFmtId="173" fontId="1" fillId="4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3" fontId="1" fillId="0" borderId="15" xfId="0" applyNumberFormat="1" applyFont="1" applyFill="1" applyBorder="1" applyAlignment="1">
      <alignment/>
    </xf>
    <xf numFmtId="173" fontId="1" fillId="4" borderId="0" xfId="0" applyNumberFormat="1" applyFont="1" applyFill="1" applyBorder="1" applyAlignment="1">
      <alignment/>
    </xf>
    <xf numFmtId="173" fontId="1" fillId="4" borderId="3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86" fontId="0" fillId="0" borderId="0" xfId="0" applyNumberFormat="1" applyAlignment="1">
      <alignment/>
    </xf>
    <xf numFmtId="0" fontId="0" fillId="6" borderId="26" xfId="0" applyFont="1" applyFill="1" applyBorder="1" applyAlignment="1">
      <alignment/>
    </xf>
    <xf numFmtId="174" fontId="0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173" fontId="1" fillId="0" borderId="31" xfId="0" applyNumberFormat="1" applyFont="1" applyFill="1" applyBorder="1" applyAlignment="1">
      <alignment/>
    </xf>
    <xf numFmtId="173" fontId="0" fillId="6" borderId="32" xfId="0" applyNumberFormat="1" applyFont="1" applyFill="1" applyBorder="1" applyAlignment="1">
      <alignment/>
    </xf>
    <xf numFmtId="173" fontId="1" fillId="11" borderId="33" xfId="0" applyNumberFormat="1" applyFont="1" applyFill="1" applyBorder="1" applyAlignment="1">
      <alignment/>
    </xf>
    <xf numFmtId="173" fontId="1" fillId="4" borderId="34" xfId="0" applyNumberFormat="1" applyFont="1" applyFill="1" applyBorder="1" applyAlignment="1">
      <alignment/>
    </xf>
    <xf numFmtId="173" fontId="1" fillId="4" borderId="35" xfId="0" applyNumberFormat="1" applyFont="1" applyFill="1" applyBorder="1" applyAlignment="1">
      <alignment/>
    </xf>
    <xf numFmtId="173" fontId="1" fillId="4" borderId="27" xfId="0" applyNumberFormat="1" applyFont="1" applyFill="1" applyBorder="1" applyAlignment="1">
      <alignment/>
    </xf>
    <xf numFmtId="173" fontId="1" fillId="0" borderId="2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35" fillId="6" borderId="26" xfId="0" applyFont="1" applyFill="1" applyBorder="1" applyAlignment="1">
      <alignment/>
    </xf>
    <xf numFmtId="0" fontId="10" fillId="6" borderId="28" xfId="0" applyFont="1" applyFill="1" applyBorder="1" applyAlignment="1">
      <alignment/>
    </xf>
    <xf numFmtId="178" fontId="0" fillId="0" borderId="17" xfId="0" applyNumberFormat="1" applyFill="1" applyBorder="1" applyAlignment="1">
      <alignment/>
    </xf>
    <xf numFmtId="178" fontId="0" fillId="0" borderId="20" xfId="15" applyNumberFormat="1" applyFill="1" applyBorder="1" applyAlignment="1">
      <alignment/>
    </xf>
    <xf numFmtId="178" fontId="0" fillId="0" borderId="14" xfId="15" applyNumberForma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173" fontId="1" fillId="7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8" fontId="0" fillId="15" borderId="0" xfId="15" applyNumberFormat="1" applyFill="1" applyAlignment="1">
      <alignment/>
    </xf>
    <xf numFmtId="177" fontId="0" fillId="3" borderId="0" xfId="0" applyNumberFormat="1" applyFill="1" applyBorder="1" applyAlignment="1">
      <alignment/>
    </xf>
    <xf numFmtId="176" fontId="1" fillId="12" borderId="13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173" fontId="11" fillId="0" borderId="0" xfId="0" applyNumberFormat="1" applyFont="1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78" fontId="0" fillId="0" borderId="5" xfId="15" applyNumberFormat="1" applyBorder="1" applyAlignment="1">
      <alignment/>
    </xf>
    <xf numFmtId="178" fontId="0" fillId="15" borderId="5" xfId="15" applyNumberFormat="1" applyFill="1" applyBorder="1" applyAlignment="1">
      <alignment/>
    </xf>
    <xf numFmtId="173" fontId="0" fillId="15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86" fontId="0" fillId="0" borderId="5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6" borderId="0" xfId="0" applyFont="1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0" xfId="0" applyFill="1" applyBorder="1" applyAlignment="1">
      <alignment/>
    </xf>
    <xf numFmtId="0" fontId="1" fillId="8" borderId="26" xfId="0" applyFont="1" applyFill="1" applyBorder="1" applyAlignment="1">
      <alignment/>
    </xf>
    <xf numFmtId="0" fontId="0" fillId="8" borderId="26" xfId="0" applyFill="1" applyBorder="1" applyAlignment="1">
      <alignment/>
    </xf>
    <xf numFmtId="186" fontId="0" fillId="0" borderId="20" xfId="0" applyNumberFormat="1" applyBorder="1" applyAlignment="1">
      <alignment/>
    </xf>
    <xf numFmtId="0" fontId="0" fillId="8" borderId="27" xfId="0" applyFill="1" applyBorder="1" applyAlignment="1">
      <alignment/>
    </xf>
    <xf numFmtId="186" fontId="0" fillId="0" borderId="1" xfId="0" applyNumberFormat="1" applyBorder="1" applyAlignment="1">
      <alignment/>
    </xf>
    <xf numFmtId="186" fontId="0" fillId="0" borderId="4" xfId="0" applyNumberFormat="1" applyBorder="1" applyAlignment="1">
      <alignment/>
    </xf>
    <xf numFmtId="186" fontId="0" fillId="0" borderId="14" xfId="0" applyNumberFormat="1" applyBorder="1" applyAlignment="1">
      <alignment/>
    </xf>
    <xf numFmtId="0" fontId="35" fillId="0" borderId="26" xfId="0" applyFon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24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36" xfId="0" applyNumberFormat="1" applyFill="1" applyBorder="1" applyAlignment="1">
      <alignment/>
    </xf>
    <xf numFmtId="0" fontId="1" fillId="0" borderId="37" xfId="0" applyFont="1" applyFill="1" applyBorder="1" applyAlignment="1">
      <alignment/>
    </xf>
    <xf numFmtId="0" fontId="35" fillId="0" borderId="5" xfId="0" applyFont="1" applyFill="1" applyBorder="1" applyAlignment="1">
      <alignment/>
    </xf>
    <xf numFmtId="178" fontId="0" fillId="0" borderId="1" xfId="15" applyNumberFormat="1" applyBorder="1" applyAlignment="1">
      <alignment/>
    </xf>
    <xf numFmtId="180" fontId="0" fillId="0" borderId="0" xfId="15" applyNumberFormat="1" applyBorder="1" applyAlignment="1">
      <alignment/>
    </xf>
    <xf numFmtId="180" fontId="0" fillId="0" borderId="5" xfId="15" applyNumberFormat="1" applyBorder="1" applyAlignment="1">
      <alignment/>
    </xf>
    <xf numFmtId="180" fontId="0" fillId="0" borderId="20" xfId="15" applyNumberFormat="1" applyBorder="1" applyAlignment="1">
      <alignment/>
    </xf>
    <xf numFmtId="0" fontId="1" fillId="0" borderId="27" xfId="0" applyFont="1" applyFill="1" applyBorder="1" applyAlignment="1">
      <alignment/>
    </xf>
    <xf numFmtId="178" fontId="0" fillId="0" borderId="17" xfId="15" applyNumberFormat="1" applyFill="1" applyBorder="1" applyAlignment="1">
      <alignment/>
    </xf>
    <xf numFmtId="178" fontId="0" fillId="0" borderId="17" xfId="15" applyNumberFormat="1" applyBorder="1" applyAlignment="1">
      <alignment/>
    </xf>
    <xf numFmtId="178" fontId="0" fillId="0" borderId="18" xfId="15" applyNumberFormat="1" applyFill="1" applyBorder="1" applyAlignment="1">
      <alignment/>
    </xf>
    <xf numFmtId="178" fontId="0" fillId="0" borderId="38" xfId="15" applyNumberFormat="1" applyFill="1" applyBorder="1" applyAlignment="1">
      <alignment/>
    </xf>
    <xf numFmtId="178" fontId="0" fillId="0" borderId="4" xfId="15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2" fontId="0" fillId="6" borderId="5" xfId="0" applyNumberFormat="1" applyFill="1" applyBorder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6" borderId="13" xfId="0" applyFill="1" applyBorder="1" applyAlignment="1">
      <alignment/>
    </xf>
    <xf numFmtId="2" fontId="0" fillId="6" borderId="13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2" fontId="0" fillId="15" borderId="5" xfId="0" applyNumberFormat="1" applyFill="1" applyBorder="1" applyAlignment="1">
      <alignment/>
    </xf>
    <xf numFmtId="187" fontId="0" fillId="15" borderId="0" xfId="0" applyNumberFormat="1" applyFill="1" applyAlignment="1">
      <alignment/>
    </xf>
    <xf numFmtId="2" fontId="0" fillId="15" borderId="13" xfId="0" applyNumberFormat="1" applyFill="1" applyBorder="1" applyAlignment="1">
      <alignment/>
    </xf>
    <xf numFmtId="179" fontId="0" fillId="15" borderId="0" xfId="0" applyNumberFormat="1" applyFill="1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Border="1" applyAlignment="1">
      <alignment/>
    </xf>
    <xf numFmtId="178" fontId="1" fillId="0" borderId="17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0" fontId="1" fillId="6" borderId="28" xfId="0" applyFont="1" applyFill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8" fontId="0" fillId="0" borderId="14" xfId="15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78" fontId="1" fillId="3" borderId="0" xfId="15" applyNumberFormat="1" applyFont="1" applyFill="1" applyBorder="1" applyAlignment="1">
      <alignment/>
    </xf>
    <xf numFmtId="178" fontId="1" fillId="3" borderId="20" xfId="15" applyNumberFormat="1" applyFont="1" applyFill="1" applyBorder="1" applyAlignment="1">
      <alignment/>
    </xf>
    <xf numFmtId="2" fontId="0" fillId="3" borderId="20" xfId="0" applyNumberFormat="1" applyFill="1" applyBorder="1" applyAlignment="1">
      <alignment/>
    </xf>
    <xf numFmtId="173" fontId="13" fillId="3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6" fillId="3" borderId="0" xfId="0" applyFont="1" applyFill="1" applyAlignment="1">
      <alignment/>
    </xf>
    <xf numFmtId="173" fontId="6" fillId="12" borderId="0" xfId="0" applyNumberFormat="1" applyFont="1" applyFill="1" applyBorder="1" applyAlignment="1">
      <alignment/>
    </xf>
    <xf numFmtId="0" fontId="40" fillId="9" borderId="0" xfId="0" applyFont="1" applyFill="1" applyAlignment="1">
      <alignment/>
    </xf>
    <xf numFmtId="178" fontId="1" fillId="0" borderId="0" xfId="15" applyNumberFormat="1" applyFont="1" applyFill="1" applyBorder="1" applyAlignment="1">
      <alignment/>
    </xf>
    <xf numFmtId="178" fontId="1" fillId="0" borderId="24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6" borderId="37" xfId="0" applyFont="1" applyFill="1" applyBorder="1" applyAlignment="1">
      <alignment/>
    </xf>
    <xf numFmtId="178" fontId="0" fillId="0" borderId="0" xfId="15" applyNumberFormat="1" applyFill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73" fontId="0" fillId="0" borderId="20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8" borderId="28" xfId="0" applyFill="1" applyBorder="1" applyAlignment="1">
      <alignment/>
    </xf>
    <xf numFmtId="173" fontId="0" fillId="0" borderId="38" xfId="0" applyNumberFormat="1" applyBorder="1" applyAlignment="1">
      <alignment/>
    </xf>
    <xf numFmtId="173" fontId="0" fillId="15" borderId="0" xfId="0" applyNumberFormat="1" applyFill="1" applyBorder="1" applyAlignment="1">
      <alignment/>
    </xf>
    <xf numFmtId="173" fontId="0" fillId="15" borderId="20" xfId="0" applyNumberFormat="1" applyFill="1" applyBorder="1" applyAlignment="1">
      <alignment/>
    </xf>
    <xf numFmtId="173" fontId="0" fillId="0" borderId="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8" borderId="0" xfId="0" applyFill="1" applyBorder="1" applyAlignment="1">
      <alignment/>
    </xf>
    <xf numFmtId="178" fontId="0" fillId="0" borderId="5" xfId="15" applyNumberFormat="1" applyBorder="1" applyAlignment="1">
      <alignment/>
    </xf>
    <xf numFmtId="178" fontId="0" fillId="15" borderId="5" xfId="15" applyNumberFormat="1" applyFill="1" applyBorder="1" applyAlignment="1">
      <alignment/>
    </xf>
    <xf numFmtId="178" fontId="0" fillId="0" borderId="0" xfId="15" applyNumberFormat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Border="1" applyAlignment="1">
      <alignment/>
    </xf>
    <xf numFmtId="43" fontId="0" fillId="0" borderId="0" xfId="15" applyAlignment="1">
      <alignment/>
    </xf>
    <xf numFmtId="0" fontId="0" fillId="0" borderId="38" xfId="0" applyBorder="1" applyAlignment="1">
      <alignment/>
    </xf>
    <xf numFmtId="178" fontId="0" fillId="0" borderId="20" xfId="15" applyNumberFormat="1" applyBorder="1" applyAlignment="1">
      <alignment/>
    </xf>
    <xf numFmtId="178" fontId="0" fillId="15" borderId="0" xfId="15" applyNumberFormat="1" applyFill="1" applyBorder="1" applyAlignment="1">
      <alignment/>
    </xf>
    <xf numFmtId="178" fontId="0" fillId="15" borderId="20" xfId="15" applyNumberFormat="1" applyFill="1" applyBorder="1" applyAlignment="1">
      <alignment/>
    </xf>
    <xf numFmtId="178" fontId="0" fillId="0" borderId="1" xfId="15" applyNumberFormat="1" applyBorder="1" applyAlignment="1">
      <alignment/>
    </xf>
    <xf numFmtId="178" fontId="0" fillId="0" borderId="4" xfId="15" applyNumberFormat="1" applyBorder="1" applyAlignment="1">
      <alignment/>
    </xf>
    <xf numFmtId="178" fontId="0" fillId="0" borderId="14" xfId="15" applyNumberFormat="1" applyBorder="1" applyAlignment="1">
      <alignment/>
    </xf>
    <xf numFmtId="178" fontId="0" fillId="0" borderId="17" xfId="15" applyNumberFormat="1" applyBorder="1" applyAlignment="1">
      <alignment/>
    </xf>
    <xf numFmtId="178" fontId="0" fillId="0" borderId="18" xfId="15" applyNumberFormat="1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0" xfId="15" applyBorder="1" applyAlignment="1">
      <alignment/>
    </xf>
    <xf numFmtId="43" fontId="0" fillId="0" borderId="20" xfId="15" applyBorder="1" applyAlignment="1">
      <alignment/>
    </xf>
    <xf numFmtId="43" fontId="0" fillId="0" borderId="1" xfId="15" applyBorder="1" applyAlignment="1">
      <alignment/>
    </xf>
    <xf numFmtId="43" fontId="0" fillId="0" borderId="14" xfId="15" applyBorder="1" applyAlignment="1">
      <alignment/>
    </xf>
    <xf numFmtId="43" fontId="1" fillId="0" borderId="0" xfId="15" applyFont="1" applyFill="1" applyAlignment="1">
      <alignment/>
    </xf>
    <xf numFmtId="0" fontId="0" fillId="8" borderId="16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3" xfId="0" applyFill="1" applyBorder="1" applyAlignment="1">
      <alignment/>
    </xf>
    <xf numFmtId="0" fontId="1" fillId="9" borderId="0" xfId="0" applyFont="1" applyFill="1" applyAlignment="1">
      <alignment/>
    </xf>
    <xf numFmtId="178" fontId="0" fillId="0" borderId="17" xfId="15" applyNumberFormat="1" applyFont="1" applyFill="1" applyBorder="1" applyAlignment="1">
      <alignment/>
    </xf>
    <xf numFmtId="178" fontId="0" fillId="0" borderId="18" xfId="15" applyNumberFormat="1" applyFont="1" applyFill="1" applyBorder="1" applyAlignment="1">
      <alignment/>
    </xf>
    <xf numFmtId="178" fontId="0" fillId="0" borderId="1" xfId="15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8" fontId="0" fillId="0" borderId="0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80" fontId="0" fillId="0" borderId="0" xfId="15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181" fontId="1" fillId="0" borderId="0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1" fontId="13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0" fillId="0" borderId="0" xfId="15" applyNumberFormat="1" applyFill="1" applyBorder="1" applyAlignment="1">
      <alignment horizontal="center"/>
    </xf>
    <xf numFmtId="182" fontId="13" fillId="0" borderId="0" xfId="21" applyNumberFormat="1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2" fillId="0" borderId="0" xfId="0" applyNumberFormat="1" applyFont="1" applyFill="1" applyAlignment="1">
      <alignment/>
    </xf>
    <xf numFmtId="0" fontId="0" fillId="6" borderId="15" xfId="0" applyFill="1" applyBorder="1" applyAlignment="1">
      <alignment/>
    </xf>
    <xf numFmtId="0" fontId="0" fillId="0" borderId="15" xfId="0" applyBorder="1" applyAlignment="1">
      <alignment/>
    </xf>
    <xf numFmtId="173" fontId="0" fillId="3" borderId="15" xfId="0" applyNumberForma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6" borderId="27" xfId="0" applyFill="1" applyBorder="1" applyAlignment="1">
      <alignment/>
    </xf>
    <xf numFmtId="0" fontId="7" fillId="0" borderId="1" xfId="0" applyFont="1" applyBorder="1" applyAlignment="1">
      <alignment/>
    </xf>
    <xf numFmtId="2" fontId="0" fillId="3" borderId="1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1" fontId="0" fillId="15" borderId="0" xfId="0" applyNumberFormat="1" applyFill="1" applyAlignment="1">
      <alignment/>
    </xf>
    <xf numFmtId="0" fontId="12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chartsheet" Target="chartsheets/sheet2.xml" /><Relationship Id="rId21" Type="http://schemas.openxmlformats.org/officeDocument/2006/relationships/chartsheet" Target="chartsheets/sheet3.xml" /><Relationship Id="rId22" Type="http://schemas.openxmlformats.org/officeDocument/2006/relationships/chartsheet" Target="chartsheets/sheet4.xml" /><Relationship Id="rId23" Type="http://schemas.openxmlformats.org/officeDocument/2006/relationships/chartsheet" Target="chartsheets/sheet5.xml" /><Relationship Id="rId24" Type="http://schemas.openxmlformats.org/officeDocument/2006/relationships/chartsheet" Target="chartsheets/sheet6.xml" /><Relationship Id="rId25" Type="http://schemas.openxmlformats.org/officeDocument/2006/relationships/chartsheet" Target="chartsheets/sheet7.xml" /><Relationship Id="rId26" Type="http://schemas.openxmlformats.org/officeDocument/2006/relationships/chartsheet" Target="chartsheets/sheet8.xml" /><Relationship Id="rId27" Type="http://schemas.openxmlformats.org/officeDocument/2006/relationships/chartsheet" Target="chartsheets/sheet9.xml" /><Relationship Id="rId28" Type="http://schemas.openxmlformats.org/officeDocument/2006/relationships/chartsheet" Target="chartsheets/sheet10.xml" /><Relationship Id="rId29" Type="http://schemas.openxmlformats.org/officeDocument/2006/relationships/chartsheet" Target="chartsheets/sheet11.xml" /><Relationship Id="rId30" Type="http://schemas.openxmlformats.org/officeDocument/2006/relationships/chartsheet" Target="chartsheets/sheet12.xml" /><Relationship Id="rId31" Type="http://schemas.openxmlformats.org/officeDocument/2006/relationships/chartsheet" Target="chartsheets/sheet13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Billettpriser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5"/>
          <c:w val="0.650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108453"/>
        <c:axId val="43431758"/>
      </c:barChart>
      <c:catAx>
        <c:axId val="42108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auto val="1"/>
        <c:lblOffset val="100"/>
        <c:noMultiLvlLbl val="0"/>
      </c:catAx>
      <c:valAx>
        <c:axId val="43431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0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Costs per passenger 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425"/>
          <c:w val="0.9542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'Costs pkm'!$A$10</c:f>
              <c:strCache>
                <c:ptCount val="1"/>
                <c:pt idx="0">
                  <c:v>O&amp;M Costs per passenger km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pkm'!$B$10:$G$10</c:f>
              <c:numCache>
                <c:ptCount val="6"/>
                <c:pt idx="0">
                  <c:v>0.13591361887366818</c:v>
                </c:pt>
                <c:pt idx="1">
                  <c:v>0.08183508188736681</c:v>
                </c:pt>
                <c:pt idx="2">
                  <c:v>0.07600538454253342</c:v>
                </c:pt>
                <c:pt idx="3">
                  <c:v>0.051875045560629114</c:v>
                </c:pt>
                <c:pt idx="4">
                  <c:v>0.06497276347570749</c:v>
                </c:pt>
                <c:pt idx="5">
                  <c:v>0.04635399969827993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'Costs pkm'!$A$11</c:f>
              <c:strCache>
                <c:ptCount val="1"/>
                <c:pt idx="0">
                  <c:v>Cap Cost  per passenger km -  25 year scenario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pkm'!$B$11:$G$11</c:f>
              <c:numCache>
                <c:ptCount val="6"/>
                <c:pt idx="0">
                  <c:v>0.42038590601117937</c:v>
                </c:pt>
                <c:pt idx="1">
                  <c:v>0.20245239965276354</c:v>
                </c:pt>
                <c:pt idx="2">
                  <c:v>0.21612625045051648</c:v>
                </c:pt>
                <c:pt idx="3">
                  <c:v>0.10118263335607945</c:v>
                </c:pt>
                <c:pt idx="4">
                  <c:v>0.17657395443995094</c:v>
                </c:pt>
                <c:pt idx="5">
                  <c:v>0.08209453453771454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'Costs pkm'!$A$12</c:f>
              <c:strCache>
                <c:ptCount val="1"/>
                <c:pt idx="0">
                  <c:v>Total costs per passenger km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pkm'!$B$12:$G$12</c:f>
              <c:numCache>
                <c:ptCount val="6"/>
                <c:pt idx="0">
                  <c:v>0.5562995248848475</c:v>
                </c:pt>
                <c:pt idx="1">
                  <c:v>0.2842874815401304</c:v>
                </c:pt>
                <c:pt idx="2">
                  <c:v>0.2921316349930499</c:v>
                </c:pt>
                <c:pt idx="3">
                  <c:v>0.15305767891670857</c:v>
                </c:pt>
                <c:pt idx="4">
                  <c:v>0.24154671791565843</c:v>
                </c:pt>
                <c:pt idx="5">
                  <c:v>0.12844853423599445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512"/>
        <c:crosses val="autoZero"/>
        <c:auto val="1"/>
        <c:lblOffset val="100"/>
        <c:noMultiLvlLbl val="0"/>
      </c:catAx>
      <c:valAx>
        <c:axId val="2426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25"/>
          <c:y val="0.16775"/>
          <c:w val="0.44175"/>
          <c:h val="0.15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Sensitivity analysis - in US dollars 
Fares cost per km travelled 
</a:t>
            </a:r>
            <a:r>
              <a:rPr lang="en-US" cap="none" sz="1525" b="0" i="0" u="none" baseline="0">
                <a:latin typeface="Arial"/>
                <a:ea typeface="Arial"/>
                <a:cs typeface="Arial"/>
              </a:rPr>
              <a:t>(cost of xx% empty trips included.) 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95"/>
          <c:w val="0.645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Costprice1!$A$5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1 stage </c:v>
                  </c:pt>
                  <c:pt idx="1">
                    <c:v>9,4</c:v>
                  </c:pt>
                  <c:pt idx="2">
                    <c:v>2 stage</c:v>
                  </c:pt>
                  <c:pt idx="3">
                    <c:v>28</c:v>
                  </c:pt>
                  <c:pt idx="4">
                    <c:v>3 stage</c:v>
                  </c:pt>
                  <c:pt idx="5">
                    <c:v>63</c:v>
                  </c:pt>
                </c:lvl>
              </c:multiLvlStrCache>
            </c:multiLvlStrRef>
          </c:cat>
          <c:val>
            <c:numRef>
              <c:f>Costprice1!$B$5:$G$5</c:f>
              <c:numCache>
                <c:ptCount val="6"/>
              </c:numCache>
            </c:numRef>
          </c:val>
          <c:smooth val="0"/>
        </c:ser>
        <c:ser>
          <c:idx val="1"/>
          <c:order val="1"/>
          <c:tx>
            <c:strRef>
              <c:f>Costprice1!$A$6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1 stage </c:v>
                  </c:pt>
                  <c:pt idx="1">
                    <c:v>9,4</c:v>
                  </c:pt>
                  <c:pt idx="2">
                    <c:v>2 stage</c:v>
                  </c:pt>
                  <c:pt idx="3">
                    <c:v>28</c:v>
                  </c:pt>
                  <c:pt idx="4">
                    <c:v>3 stage</c:v>
                  </c:pt>
                  <c:pt idx="5">
                    <c:v>63</c:v>
                  </c:pt>
                </c:lvl>
              </c:multiLvlStrCache>
            </c:multiLvlStrRef>
          </c:cat>
          <c:val>
            <c:numRef>
              <c:f>Costprice1!$B$6:$G$6</c:f>
              <c:numCache>
                <c:ptCount val="6"/>
                <c:pt idx="0">
                  <c:v>0.2120291214036684</c:v>
                </c:pt>
                <c:pt idx="1">
                  <c:v>0.14171497679833914</c:v>
                </c:pt>
                <c:pt idx="2">
                  <c:v>0.15973821526989557</c:v>
                </c:pt>
                <c:pt idx="3">
                  <c:v>0.11133658214080176</c:v>
                </c:pt>
                <c:pt idx="4">
                  <c:v>0.1163244908430876</c:v>
                </c:pt>
                <c:pt idx="5">
                  <c:v>0.08315197757564156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Costprice1!$A$7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1 stage </c:v>
                  </c:pt>
                  <c:pt idx="1">
                    <c:v>9,4</c:v>
                  </c:pt>
                  <c:pt idx="2">
                    <c:v>2 stage</c:v>
                  </c:pt>
                  <c:pt idx="3">
                    <c:v>28</c:v>
                  </c:pt>
                  <c:pt idx="4">
                    <c:v>3 stage</c:v>
                  </c:pt>
                  <c:pt idx="5">
                    <c:v>63</c:v>
                  </c:pt>
                </c:lvl>
              </c:multiLvlStrCache>
            </c:multiLvlStrRef>
          </c:cat>
          <c:val>
            <c:numRef>
              <c:f>Costprice1!$B$7:$G$7</c:f>
              <c:numCache>
                <c:ptCount val="6"/>
                <c:pt idx="0">
                  <c:v>0.106262682488199</c:v>
                </c:pt>
                <c:pt idx="1">
                  <c:v>0.07366117025952192</c:v>
                </c:pt>
                <c:pt idx="2">
                  <c:v>0.08074714427979808</c:v>
                </c:pt>
                <c:pt idx="3">
                  <c:v>0.058837686290539426</c:v>
                </c:pt>
                <c:pt idx="4">
                  <c:v>0.06113325352952712</c:v>
                </c:pt>
                <c:pt idx="5">
                  <c:v>0.046454006670211836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Costprice1!$A$8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1 stage </c:v>
                  </c:pt>
                  <c:pt idx="1">
                    <c:v>9,4</c:v>
                  </c:pt>
                  <c:pt idx="2">
                    <c:v>2 stage</c:v>
                  </c:pt>
                  <c:pt idx="3">
                    <c:v>28</c:v>
                  </c:pt>
                  <c:pt idx="4">
                    <c:v>3 stage</c:v>
                  </c:pt>
                  <c:pt idx="5">
                    <c:v>63</c:v>
                  </c:pt>
                </c:lvl>
              </c:multiLvlStrCache>
            </c:multiLvlStrRef>
          </c:cat>
          <c:val>
            <c:numRef>
              <c:f>Costprice1!$B$8:$G$8</c:f>
              <c:numCache>
                <c:ptCount val="6"/>
                <c:pt idx="0">
                  <c:v>0.03687826088255669</c:v>
                </c:pt>
                <c:pt idx="1">
                  <c:v>0.029016819431638568</c:v>
                </c:pt>
                <c:pt idx="2">
                  <c:v>0.028927778620352253</c:v>
                </c:pt>
                <c:pt idx="3">
                  <c:v>0.024397597725048924</c:v>
                </c:pt>
                <c:pt idx="4">
                  <c:v>0.024926947276163715</c:v>
                </c:pt>
                <c:pt idx="5">
                  <c:v>0.022379569528492817</c:v>
                </c:pt>
              </c:numCache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 val="autoZero"/>
        <c:auto val="1"/>
        <c:lblOffset val="100"/>
        <c:noMultiLvlLbl val="0"/>
      </c:catAx>
      <c:valAx>
        <c:axId val="1902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Total costprice 'break even' per year for 18  scenarios 
- in million US dollars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</a:p>
        </c:rich>
      </c:tx>
      <c:layout>
        <c:manualLayout>
          <c:xMode val="factor"/>
          <c:yMode val="factor"/>
          <c:x val="-0.01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5"/>
          <c:w val="0.644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Costprice2!$A$6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Costprice2!$A$7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Costprice2!$A$8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Costprice2!$A$9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08"/>
        <c:crosses val="autoZero"/>
        <c:auto val="1"/>
        <c:lblOffset val="100"/>
        <c:noMultiLvlLbl val="0"/>
      </c:catAx>
      <c:valAx>
        <c:axId val="6466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1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5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km - total costprice 'break even' per year for 18  scenarios - in million US dollars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2"/>
          <c:w val="0.706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Costprice2!$J$6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Costprice2!$K$6:$P$6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Costprice2!$J$7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Costprice2!$K$7:$P$7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Costprice2!$J$8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Costprice2!$K$8:$P$8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Costprice2!$J$9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Costprice2!$K$9:$P$9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
25 year scenario - for smallest network - low and high traffic</a:t>
            </a:r>
          </a:p>
        </c:rich>
      </c:tx>
      <c:layout>
        <c:manualLayout>
          <c:xMode val="factor"/>
          <c:yMode val="factor"/>
          <c:x val="-0.00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175"/>
          <c:w val="0.80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Profit!$A$34</c:f>
              <c:strCache>
                <c:ptCount val="1"/>
                <c:pt idx="0">
                  <c:v>Fare price per km in  US$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Profit!$A$35:$A$48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Profit!$B$34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Profit!$B$35:$B$48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Profit!$C$34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Profit!$C$35:$C$48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"/>
          <c:y val="0.4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dollars
25 year scenario - for smallest network - low and high traffic</a:t>
            </a:r>
          </a:p>
        </c:rich>
      </c:tx>
      <c:layout>
        <c:manualLayout>
          <c:xMode val="factor"/>
          <c:yMode val="factor"/>
          <c:x val="0.003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65"/>
          <c:w val="0.791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Profit!$K$34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Profit!$K$35:$K$47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Profit!$L$35:$L$47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profit - per year in mill US $
25 year scenario - all 6 combinations of network and traffic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925"/>
          <c:w val="0.774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Profit!$B$34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Profit!$B$35:$B$48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Profit!$C$35:$C$48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Profit!$D$34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Profit!$D$35:$D$48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Profit!$E$34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Profit!$E$35:$E$48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Profit!$F$34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Profit!$F$35:$F$48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Profit!$G$34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Profit!$G$35:$G$48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US $
25 year scenario - all 6 combinations of network and traffic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25"/>
          <c:w val="0.786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Profit!$K$34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Profit!$K$35:$K$48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Profit!$L$35:$L$48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Profit!$M$34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Profit!$M$35:$M$48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Profit!$N$34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Profit!$N$35:$N$48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Profit!$O$34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Profit!$O$35:$O$48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Profit!$P$34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Profit!$P$35:$P$48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616133"/>
        <c:axId val="25109742"/>
      </c:lineChart>
      <c:cat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 
75 year scenario - all 6 combinations of network and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Profit!$B$110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Profit!$B$111:$B$124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Profit!$C$111:$C$124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Profit!$D$110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Profit!$D$111:$D$124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Profit!$E$110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Profit!$E$111:$E$124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Profit!$F$110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Profit!$F$111:$F$124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Profit!$G$110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Profit!$G$111:$G$124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 
75 year scenario - for smallest network - low and high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Profit!$B$110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Profit!$B$111:$B$124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Profit!$C$111:$C$124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4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341503"/>
        <c:axId val="28311480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US $ 
75 year scenario - all 6 combinations of network and traffic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Profit!$K$110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Profit!$K$111:$K$124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Profit!$L$111:$L$124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Profit!$M$110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Profit!$M$111:$M$124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Profit!$N$110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Profit!$N$111:$N$124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Profit!$O$110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Profit!$O$111:$O$124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Profit!$P$110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Profit!$P$111:$P$124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21523"/>
        <c:axId val="17293708"/>
      </c:line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dollars 25 year scenario - for smallest network - low and high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Profit!$K$110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Profit!$K$111:$K$124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Profit!$L$111:$L$124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1425645"/>
        <c:axId val="58613078"/>
      </c:lineChart>
      <c:cat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10 years downwriting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025"/>
          <c:w val="0.966"/>
          <c:h val="0.75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Cost!$A$6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Cost!$A$7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Cost!$A$8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25 years downwriting</a:t>
            </a:r>
          </a:p>
        </c:rich>
      </c:tx>
      <c:layout>
        <c:manualLayout>
          <c:xMode val="factor"/>
          <c:yMode val="factor"/>
          <c:x val="0.03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85"/>
          <c:w val="0.96675"/>
          <c:h val="0.81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Cost!$A$10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Cost!$A$11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Cost!$A$12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75 years differentiated downwriting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Cost!$A$14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Cost!$A$15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Cost!$A$16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Cost!$B$16:$G$16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8207131"/>
        <c:axId val="8319860"/>
      </c:bar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Cap!$A$7</c:f>
              <c:strCache>
                <c:ptCount val="1"/>
                <c:pt idx="0">
                  <c:v>Tracks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Cap!$A$8</c:f>
              <c:strCache>
                <c:ptCount val="1"/>
                <c:pt idx="0">
                  <c:v>Stations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Cap!$A$9</c:f>
              <c:strCache>
                <c:ptCount val="1"/>
                <c:pt idx="0">
                  <c:v>Central Facilities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Cap!$A$10</c:f>
              <c:strCache>
                <c:ptCount val="1"/>
                <c:pt idx="0">
                  <c:v>Control system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Cap!$A$11</c:f>
              <c:strCache>
                <c:ptCount val="1"/>
                <c:pt idx="0">
                  <c:v>Vehicles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Cap!$A$12</c:f>
              <c:strCache>
                <c:ptCount val="1"/>
                <c:pt idx="0">
                  <c:v>Planning and development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Cap!$A$13</c:f>
              <c:strCache>
                <c:ptCount val="1"/>
                <c:pt idx="0">
                  <c:v>Contingencies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75 years differentiated downwriting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'O&amp;M dist'!$A$25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dist'!$B$25:$G$25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'O&amp;M dist'!$A$26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dist'!$B$26:$G$26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'O&amp;M dist'!$A$27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dist'!$B$27:$G$27</c:f>
              <c:numCache>
                <c:ptCount val="6"/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5380271"/>
        <c:axId val="27095848"/>
      </c:bar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'O&amp;M dist'!$A$7</c:f>
              <c:strCache>
                <c:ptCount val="1"/>
                <c:pt idx="0">
                  <c:v>Employment 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'O&amp;M dist'!$A$8</c:f>
              <c:strCache>
                <c:ptCount val="1"/>
                <c:pt idx="0">
                  <c:v>Land rent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'O&amp;M dist'!$A$9</c:f>
              <c:strCache>
                <c:ptCount val="1"/>
                <c:pt idx="0">
                  <c:v>Electricity propulsion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'O&amp;M dist'!$A$10</c:f>
              <c:strCache>
                <c:ptCount val="1"/>
                <c:pt idx="0">
                  <c:v>Electricity heating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'O&amp;M dist'!$A$11</c:f>
              <c:strCache>
                <c:ptCount val="1"/>
                <c:pt idx="0">
                  <c:v>Maintenance 1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'O&amp;M dist'!$A$12</c:f>
              <c:strCache>
                <c:ptCount val="1"/>
                <c:pt idx="0">
                  <c:v>Maintenance 2 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'O&amp;M dist'!$A$13</c:f>
              <c:strCache>
                <c:ptCount val="1"/>
                <c:pt idx="0">
                  <c:v>Service of control system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'O&amp;M dist'!$A$14</c:f>
              <c:strCache>
                <c:ptCount val="1"/>
                <c:pt idx="0">
                  <c:v>Software royalty 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2536041"/>
        <c:axId val="47280050"/>
      </c:bar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- 1L (small network &amp;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(1Low!$A$40,1Low!$A$42:$A$47)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(1Low!$D$40,1Low!$D$42:$D$47)</c:f>
              <c:numCache>
                <c:ptCount val="7"/>
                <c:pt idx="0">
                  <c:v>0.6216000000000002</c:v>
                </c:pt>
                <c:pt idx="1">
                  <c:v>0.409968</c:v>
                </c:pt>
                <c:pt idx="2">
                  <c:v>0.273312</c:v>
                </c:pt>
                <c:pt idx="3">
                  <c:v>0.0364416</c:v>
                </c:pt>
                <c:pt idx="4">
                  <c:v>0.015583454000000002</c:v>
                </c:pt>
                <c:pt idx="5">
                  <c:v>0.042620000000000005</c:v>
                </c:pt>
                <c:pt idx="6">
                  <c:v>0.09244444444444447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- 1L (small network &amp;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(1High!$A$40,1High!$A$42:$A$47)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(1High!$D$40,1High!$D$42:$D$47)</c:f>
              <c:numCache>
                <c:ptCount val="7"/>
                <c:pt idx="0">
                  <c:v>0.6216000000000002</c:v>
                </c:pt>
                <c:pt idx="1">
                  <c:v>0.819936</c:v>
                </c:pt>
                <c:pt idx="2">
                  <c:v>0.546624</c:v>
                </c:pt>
                <c:pt idx="3">
                  <c:v>0.0728832</c:v>
                </c:pt>
                <c:pt idx="4">
                  <c:v>0.020575454000000003</c:v>
                </c:pt>
                <c:pt idx="5">
                  <c:v>0.042620000000000005</c:v>
                </c:pt>
                <c:pt idx="6">
                  <c:v>0.18488888888888894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925"/>
          <c:w val="0.990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3476729"/>
        <c:axId val="11528514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1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- 3H (large network &amp; high traffic)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(3High!$A$40,3High!$A$42:$A$47)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(3High!$D$40,3High!$D$42:$D$47)</c:f>
              <c:numCache>
                <c:ptCount val="7"/>
                <c:pt idx="0">
                  <c:v>1.3720000000000003</c:v>
                </c:pt>
                <c:pt idx="1">
                  <c:v>6.726037500000001</c:v>
                </c:pt>
                <c:pt idx="2">
                  <c:v>4.484025000000001</c:v>
                </c:pt>
                <c:pt idx="3">
                  <c:v>0.5978700000000001</c:v>
                </c:pt>
                <c:pt idx="4">
                  <c:v>0.09724073400000002</c:v>
                </c:pt>
                <c:pt idx="5">
                  <c:v>0.16590000000000005</c:v>
                </c:pt>
                <c:pt idx="6">
                  <c:v>0.9100000000000003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Annual total costs 1L (small network low traffic) - differenciated downwriting 75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5"/>
          <c:y val="0.15575"/>
          <c:w val="0.482"/>
          <c:h val="0.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(1Low!$A$48,1Low!$A$55,1Low!$A$62)</c:f>
              <c:strCache>
                <c:ptCount val="3"/>
                <c:pt idx="0">
                  <c:v>Annual operating costs</c:v>
                </c:pt>
                <c:pt idx="1">
                  <c:v>Downwriting in total per year</c:v>
                </c:pt>
                <c:pt idx="2">
                  <c:v>Interest costs in total per year </c:v>
                </c:pt>
              </c:strCache>
            </c:strRef>
          </c:cat>
          <c:val>
            <c:numRef>
              <c:f>(1Low!$D$48,1Low!$D$55,1Low!$D$62)</c:f>
              <c:numCache>
                <c:ptCount val="3"/>
                <c:pt idx="0">
                  <c:v>0.9898501450000001</c:v>
                </c:pt>
                <c:pt idx="1">
                  <c:v>0.7164680921052632</c:v>
                </c:pt>
                <c:pt idx="2">
                  <c:v>0.2474963913134278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total costs 1H (small network high traffic) - differenciated downwriting 75 years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(1High!$A$48,1High!$A$55,1High!$A$62)</c:f>
              <c:strCache>
                <c:ptCount val="3"/>
                <c:pt idx="0">
                  <c:v>Annual operating costs</c:v>
                </c:pt>
                <c:pt idx="1">
                  <c:v>Downwriting in total per year</c:v>
                </c:pt>
                <c:pt idx="2">
                  <c:v>Interest costs in total per year </c:v>
                </c:pt>
              </c:strCache>
            </c:strRef>
          </c:cat>
          <c:val>
            <c:numRef>
              <c:f>(1High!$D$48,1High!$D$55,1High!$D$62)</c:f>
              <c:numCache>
                <c:ptCount val="3"/>
                <c:pt idx="0">
                  <c:v>2.124238654</c:v>
                </c:pt>
                <c:pt idx="1">
                  <c:v>1.5386494663742694</c:v>
                </c:pt>
                <c:pt idx="2">
                  <c:v>0.6498753219912166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Annual capital costs - 1L- differentiated downwriting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825"/>
          <c:w val="0.5145"/>
          <c:h val="0.8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(1Low!$A$51:$A$54,1Low!$A$58:$A$61)</c:f>
              <c:strCache>
                <c:ptCount val="8"/>
                <c:pt idx="0">
                  <c:v>Downwriting planning and development </c:v>
                </c:pt>
                <c:pt idx="1">
                  <c:v>Downwriting of fixed facilities</c:v>
                </c:pt>
                <c:pt idx="2">
                  <c:v>Downwriting of vehicles </c:v>
                </c:pt>
                <c:pt idx="3">
                  <c:v>Downwriting of control system </c:v>
                </c:pt>
                <c:pt idx="4">
                  <c:v>Interest cost for planning and development </c:v>
                </c:pt>
                <c:pt idx="5">
                  <c:v>Interest costs for of fixed facilities </c:v>
                </c:pt>
                <c:pt idx="6">
                  <c:v>Interest costs for vehicles </c:v>
                </c:pt>
                <c:pt idx="7">
                  <c:v>Interest costs for control system </c:v>
                </c:pt>
              </c:strCache>
            </c:strRef>
          </c:cat>
          <c:val>
            <c:numRef>
              <c:f>(1Low!$D$51:$D$54,1Low!$D$58:$D$61)</c:f>
              <c:numCache>
                <c:ptCount val="8"/>
                <c:pt idx="0">
                  <c:v>0.09142015460526316</c:v>
                </c:pt>
                <c:pt idx="1">
                  <c:v>0.36056683479532164</c:v>
                </c:pt>
                <c:pt idx="2">
                  <c:v>0.4444444444444446</c:v>
                </c:pt>
                <c:pt idx="3">
                  <c:v>0.27703</c:v>
                </c:pt>
                <c:pt idx="4">
                  <c:v>0.008734192956132817</c:v>
                </c:pt>
                <c:pt idx="5">
                  <c:v>0.060157531587435135</c:v>
                </c:pt>
                <c:pt idx="6">
                  <c:v>0.22607659443373834</c:v>
                </c:pt>
                <c:pt idx="7">
                  <c:v>0.12030723557242759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- 1L (small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(1Low!$A$10,1Low!$A$14,1Low!$A$18,1Low!$A$26,1Low!$A$30,1Low!$A$34,1Low!$A$35)</c:f>
              <c:strCache>
                <c:ptCount val="7"/>
                <c:pt idx="0">
                  <c:v>Tracks total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(1Low!$D$10,1Low!$D$14,1Low!$D$18,1Low!$D$26,1Low!$D$30,1Low!$D$34,1Low!$D$35)</c:f>
              <c:numCache>
                <c:ptCount val="7"/>
                <c:pt idx="0">
                  <c:v>19.467635</c:v>
                </c:pt>
                <c:pt idx="1">
                  <c:v>1.8800000000000001</c:v>
                </c:pt>
                <c:pt idx="2">
                  <c:v>3.9244444444444446</c:v>
                </c:pt>
                <c:pt idx="3">
                  <c:v>2.1310000000000002</c:v>
                </c:pt>
                <c:pt idx="4">
                  <c:v>11.555555555555559</c:v>
                </c:pt>
                <c:pt idx="5">
                  <c:v>6.94793175</c:v>
                </c:pt>
                <c:pt idx="6">
                  <c:v>1.9479317500000002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- 1H (small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(1High!$A$10,1High!$A$14,1High!$A$18,1High!$A$26,1High!$A$30,1High!$A$34,1High!$A$35)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(1High!$D$10,1High!$D$14,1High!$D$18,1High!$D$26,1High!$D$30,1High!$D$34,1High!$D$35)</c:f>
              <c:numCache>
                <c:ptCount val="7"/>
                <c:pt idx="0">
                  <c:v>19.467635</c:v>
                </c:pt>
                <c:pt idx="1">
                  <c:v>1.8800000000000001</c:v>
                </c:pt>
                <c:pt idx="2">
                  <c:v>4.848888888888889</c:v>
                </c:pt>
                <c:pt idx="3">
                  <c:v>2.1310000000000002</c:v>
                </c:pt>
                <c:pt idx="4">
                  <c:v>23.111111111111118</c:v>
                </c:pt>
                <c:pt idx="5">
                  <c:v>7.571931750000001</c:v>
                </c:pt>
                <c:pt idx="6">
                  <c:v>2.5719317500000005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- 2L (medium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(2Low!$A$10,2Low!$A$14,2Low!$A$18,2Low!$A$26,2Low!$A$30,2Low!$A$34,2Low!$A$35)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(2Low!$D$10,2Low!$D$14,2Low!$D$18,2Low!$D$26,2Low!$D$30,2Low!$D$34,2Low!$D$35)</c:f>
              <c:numCache>
                <c:ptCount val="7"/>
                <c:pt idx="0">
                  <c:v>44.62167500000001</c:v>
                </c:pt>
                <c:pt idx="1">
                  <c:v>5.6000000000000005</c:v>
                </c:pt>
                <c:pt idx="2">
                  <c:v>4.638</c:v>
                </c:pt>
                <c:pt idx="3">
                  <c:v>4.2700000000000005</c:v>
                </c:pt>
                <c:pt idx="4">
                  <c:v>20.474999999999998</c:v>
                </c:pt>
                <c:pt idx="5">
                  <c:v>8.98023375</c:v>
                </c:pt>
                <c:pt idx="6">
                  <c:v>3.980233750000001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- 2H (medium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(2High!$A$10,2High!$A$14,2High!$A$18,2High!$A$26,2High!$A$30,2High!$A$34,2High!$A$35)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(2High!$D$10,2High!$D$14,2High!$D$18,2High!$D$26,2High!$D$30,2High!$D$34,2High!$D$35)</c:f>
              <c:numCache>
                <c:ptCount val="7"/>
                <c:pt idx="0">
                  <c:v>46.14933500000001</c:v>
                </c:pt>
                <c:pt idx="1">
                  <c:v>5.6000000000000005</c:v>
                </c:pt>
                <c:pt idx="2">
                  <c:v>7.622222222222224</c:v>
                </c:pt>
                <c:pt idx="3">
                  <c:v>4.2700000000000005</c:v>
                </c:pt>
                <c:pt idx="4">
                  <c:v>57.7777777777778</c:v>
                </c:pt>
                <c:pt idx="5">
                  <c:v>11.070966750000004</c:v>
                </c:pt>
                <c:pt idx="6">
                  <c:v>6.070966750000003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- 3L (large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(3Low!$A$10,3Low!$A$14,3Low!$A$18,3Low!$A$26,3Low!$A$30,3Low!$A$34,3Low!$A$35)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(3Low!$D$10,3Low!$D$14,3Low!$D$18,3Low!$D$26,3Low!$D$30,3Low!$D$34,3Low!$D$35)</c:f>
              <c:numCache>
                <c:ptCount val="7"/>
                <c:pt idx="0">
                  <c:v>96.356835</c:v>
                </c:pt>
                <c:pt idx="1">
                  <c:v>12.600000000000001</c:v>
                </c:pt>
                <c:pt idx="2">
                  <c:v>7.550000000000001</c:v>
                </c:pt>
                <c:pt idx="3">
                  <c:v>8.295000000000002</c:v>
                </c:pt>
                <c:pt idx="4">
                  <c:v>56.875000000000014</c:v>
                </c:pt>
                <c:pt idx="5">
                  <c:v>14.083841750000003</c:v>
                </c:pt>
                <c:pt idx="6">
                  <c:v>9.083841750000003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- 3H (large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(3High!$A$10,3High!$A$14,3High!$A$18,3High!$A$26,3High!$A$30,3High!$A$34,3High!$A$35)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(3High!$D$10,3High!$D$14,3High!$D$18,3High!$D$26,3High!$D$30,3High!$D$34,3High!$D$35)</c:f>
              <c:numCache>
                <c:ptCount val="7"/>
                <c:pt idx="0">
                  <c:v>96.356835</c:v>
                </c:pt>
                <c:pt idx="1">
                  <c:v>12.600000000000001</c:v>
                </c:pt>
                <c:pt idx="2">
                  <c:v>10.8</c:v>
                </c:pt>
                <c:pt idx="3">
                  <c:v>8.295000000000002</c:v>
                </c:pt>
                <c:pt idx="4">
                  <c:v>97.50000000000001</c:v>
                </c:pt>
                <c:pt idx="5">
                  <c:v>16.277591750000003</c:v>
                </c:pt>
                <c:pt idx="6">
                  <c:v>11.277591750000003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6647763"/>
        <c:axId val="61394412"/>
      </c:line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5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4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NPVtime!$B$24:$E$24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2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925"/>
          <c:w val="0.990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1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NPVtime!$B$25:$C$25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5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benefit for time saved per year (mill US $)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65"/>
          <c:w val="0.943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NPVtime!$A$17</c:f>
              <c:strCache>
                <c:ptCount val="1"/>
                <c:pt idx="0">
                  <c:v>Total benefit (mill US 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NPVtime!$B$17:$G$17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Million US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59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925"/>
          <c:w val="0.9407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IRR!$A$6</c:f>
              <c:strCache>
                <c:ptCount val="1"/>
                <c:pt idx="0">
                  <c:v>10 years general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IRR!$B$6:$G$6</c:f>
              <c:numCache>
                <c:ptCount val="6"/>
                <c:pt idx="0">
                  <c:v>-0.04018272513171066</c:v>
                </c:pt>
                <c:pt idx="1">
                  <c:v>0.0649038873459596</c:v>
                </c:pt>
                <c:pt idx="2">
                  <c:v>0.010731242939840568</c:v>
                </c:pt>
                <c:pt idx="3">
                  <c:v>0.12102402437982358</c:v>
                </c:pt>
                <c:pt idx="4">
                  <c:v>0.047214395767576085</c:v>
                </c:pt>
                <c:pt idx="5">
                  <c:v>0.16216223689767165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IRR!$A$7</c:f>
              <c:strCache>
                <c:ptCount val="1"/>
                <c:pt idx="0">
                  <c:v>25 years general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IRR!$B$7:$G$7</c:f>
              <c:numCache>
                <c:ptCount val="6"/>
                <c:pt idx="0">
                  <c:v>0.056164816534819424</c:v>
                </c:pt>
                <c:pt idx="1">
                  <c:v>0.1287546065021607</c:v>
                </c:pt>
                <c:pt idx="2">
                  <c:v>0.09049100220590275</c:v>
                </c:pt>
                <c:pt idx="3">
                  <c:v>0.17116249810764855</c:v>
                </c:pt>
                <c:pt idx="4">
                  <c:v>0.11618458673599354</c:v>
                </c:pt>
                <c:pt idx="5">
                  <c:v>0.20378740028954717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IRR!$A$8</c:f>
              <c:strCache>
                <c:ptCount val="1"/>
                <c:pt idx="0">
                  <c:v>75 years differentiated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IRR!$B$8:$G$8</c:f>
              <c:numCache>
                <c:ptCount val="6"/>
                <c:pt idx="0">
                  <c:v>0.07432862066277883</c:v>
                </c:pt>
                <c:pt idx="1">
                  <c:v>0.13492870661482328</c:v>
                </c:pt>
                <c:pt idx="2">
                  <c:v>0.101607060452457</c:v>
                </c:pt>
                <c:pt idx="3">
                  <c:v>0.1743162772106869</c:v>
                </c:pt>
                <c:pt idx="4">
                  <c:v>0.12371556388827423</c:v>
                </c:pt>
                <c:pt idx="5">
                  <c:v>0.20565303901070597</c:v>
                </c:pt>
              </c:numCache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Rate (0,5 = 50 %)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589"/>
          <c:w val="0.42225"/>
          <c:h val="0.233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13</xdr:col>
      <xdr:colOff>438150</xdr:colOff>
      <xdr:row>58</xdr:row>
      <xdr:rowOff>28575</xdr:rowOff>
    </xdr:to>
    <xdr:graphicFrame>
      <xdr:nvGraphicFramePr>
        <xdr:cNvPr id="1" name="Chart 5"/>
        <xdr:cNvGraphicFramePr/>
      </xdr:nvGraphicFramePr>
      <xdr:xfrm>
        <a:off x="152400" y="2847975"/>
        <a:ext cx="113919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67</xdr:row>
      <xdr:rowOff>9525</xdr:rowOff>
    </xdr:from>
    <xdr:to>
      <xdr:col>5</xdr:col>
      <xdr:colOff>133350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133350" y="10972800"/>
        <a:ext cx="6610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15</xdr:row>
      <xdr:rowOff>152400</xdr:rowOff>
    </xdr:from>
    <xdr:to>
      <xdr:col>12</xdr:col>
      <xdr:colOff>561975</xdr:colOff>
      <xdr:row>58</xdr:row>
      <xdr:rowOff>28575</xdr:rowOff>
    </xdr:to>
    <xdr:graphicFrame>
      <xdr:nvGraphicFramePr>
        <xdr:cNvPr id="2" name="Chart 3"/>
        <xdr:cNvGraphicFramePr/>
      </xdr:nvGraphicFramePr>
      <xdr:xfrm>
        <a:off x="161925" y="2695575"/>
        <a:ext cx="11830050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38100</xdr:rowOff>
    </xdr:from>
    <xdr:to>
      <xdr:col>11</xdr:col>
      <xdr:colOff>371475</xdr:colOff>
      <xdr:row>54</xdr:row>
      <xdr:rowOff>76200</xdr:rowOff>
    </xdr:to>
    <xdr:graphicFrame>
      <xdr:nvGraphicFramePr>
        <xdr:cNvPr id="1" name="Chart 4"/>
        <xdr:cNvGraphicFramePr/>
      </xdr:nvGraphicFramePr>
      <xdr:xfrm>
        <a:off x="76200" y="5219700"/>
        <a:ext cx="8439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152400</xdr:rowOff>
    </xdr:from>
    <xdr:to>
      <xdr:col>13</xdr:col>
      <xdr:colOff>581025</xdr:colOff>
      <xdr:row>29</xdr:row>
      <xdr:rowOff>152400</xdr:rowOff>
    </xdr:to>
    <xdr:graphicFrame>
      <xdr:nvGraphicFramePr>
        <xdr:cNvPr id="2" name="Chart 5"/>
        <xdr:cNvGraphicFramePr/>
      </xdr:nvGraphicFramePr>
      <xdr:xfrm>
        <a:off x="0" y="1447800"/>
        <a:ext cx="10277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57</xdr:row>
      <xdr:rowOff>9525</xdr:rowOff>
    </xdr:from>
    <xdr:to>
      <xdr:col>4</xdr:col>
      <xdr:colOff>447675</xdr:colOff>
      <xdr:row>79</xdr:row>
      <xdr:rowOff>47625</xdr:rowOff>
    </xdr:to>
    <xdr:graphicFrame>
      <xdr:nvGraphicFramePr>
        <xdr:cNvPr id="3" name="Chart 7"/>
        <xdr:cNvGraphicFramePr/>
      </xdr:nvGraphicFramePr>
      <xdr:xfrm>
        <a:off x="57150" y="9239250"/>
        <a:ext cx="3924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52</xdr:row>
      <xdr:rowOff>38100</xdr:rowOff>
    </xdr:from>
    <xdr:to>
      <xdr:col>11</xdr:col>
      <xdr:colOff>371475</xdr:colOff>
      <xdr:row>74</xdr:row>
      <xdr:rowOff>76200</xdr:rowOff>
    </xdr:to>
    <xdr:graphicFrame>
      <xdr:nvGraphicFramePr>
        <xdr:cNvPr id="1" name="Chart 1"/>
        <xdr:cNvGraphicFramePr/>
      </xdr:nvGraphicFramePr>
      <xdr:xfrm>
        <a:off x="76200" y="8553450"/>
        <a:ext cx="8439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13</xdr:col>
      <xdr:colOff>581025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81550"/>
        <a:ext cx="10134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77</xdr:row>
      <xdr:rowOff>9525</xdr:rowOff>
    </xdr:from>
    <xdr:to>
      <xdr:col>4</xdr:col>
      <xdr:colOff>447675</xdr:colOff>
      <xdr:row>99</xdr:row>
      <xdr:rowOff>47625</xdr:rowOff>
    </xdr:to>
    <xdr:graphicFrame>
      <xdr:nvGraphicFramePr>
        <xdr:cNvPr id="3" name="Chart 3"/>
        <xdr:cNvGraphicFramePr/>
      </xdr:nvGraphicFramePr>
      <xdr:xfrm>
        <a:off x="57150" y="12573000"/>
        <a:ext cx="3924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9</xdr:row>
      <xdr:rowOff>85725</xdr:rowOff>
    </xdr:from>
    <xdr:to>
      <xdr:col>17</xdr:col>
      <xdr:colOff>114300</xdr:colOff>
      <xdr:row>28</xdr:row>
      <xdr:rowOff>9525</xdr:rowOff>
    </xdr:to>
    <xdr:graphicFrame>
      <xdr:nvGraphicFramePr>
        <xdr:cNvPr id="4" name="Chart 5"/>
        <xdr:cNvGraphicFramePr/>
      </xdr:nvGraphicFramePr>
      <xdr:xfrm>
        <a:off x="6343650" y="1571625"/>
        <a:ext cx="607695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9525</xdr:rowOff>
    </xdr:from>
    <xdr:to>
      <xdr:col>14</xdr:col>
      <xdr:colOff>390525</xdr:colOff>
      <xdr:row>48</xdr:row>
      <xdr:rowOff>95250</xdr:rowOff>
    </xdr:to>
    <xdr:graphicFrame>
      <xdr:nvGraphicFramePr>
        <xdr:cNvPr id="1" name="Chart 5"/>
        <xdr:cNvGraphicFramePr/>
      </xdr:nvGraphicFramePr>
      <xdr:xfrm>
        <a:off x="123825" y="1485900"/>
        <a:ext cx="105251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152400</xdr:rowOff>
    </xdr:from>
    <xdr:to>
      <xdr:col>10</xdr:col>
      <xdr:colOff>85725</xdr:colOff>
      <xdr:row>53</xdr:row>
      <xdr:rowOff>133350</xdr:rowOff>
    </xdr:to>
    <xdr:graphicFrame>
      <xdr:nvGraphicFramePr>
        <xdr:cNvPr id="1" name="Chart 6"/>
        <xdr:cNvGraphicFramePr/>
      </xdr:nvGraphicFramePr>
      <xdr:xfrm>
        <a:off x="85725" y="2714625"/>
        <a:ext cx="102108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10</xdr:col>
      <xdr:colOff>38100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9050" y="1457325"/>
        <a:ext cx="69342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152400</xdr:rowOff>
    </xdr:from>
    <xdr:to>
      <xdr:col>8</xdr:col>
      <xdr:colOff>352425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171450" y="1962150"/>
        <a:ext cx="5867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12</xdr:row>
      <xdr:rowOff>9525</xdr:rowOff>
    </xdr:from>
    <xdr:to>
      <xdr:col>16</xdr:col>
      <xdr:colOff>476250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6315075" y="1981200"/>
        <a:ext cx="588645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78</xdr:row>
      <xdr:rowOff>38100</xdr:rowOff>
    </xdr:from>
    <xdr:to>
      <xdr:col>8</xdr:col>
      <xdr:colOff>19050</xdr:colOff>
      <xdr:row>104</xdr:row>
      <xdr:rowOff>123825</xdr:rowOff>
    </xdr:to>
    <xdr:graphicFrame>
      <xdr:nvGraphicFramePr>
        <xdr:cNvPr id="1" name="Chart 5"/>
        <xdr:cNvGraphicFramePr/>
      </xdr:nvGraphicFramePr>
      <xdr:xfrm>
        <a:off x="104775" y="12696825"/>
        <a:ext cx="5600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78</xdr:row>
      <xdr:rowOff>66675</xdr:rowOff>
    </xdr:from>
    <xdr:to>
      <xdr:col>16</xdr:col>
      <xdr:colOff>457200</xdr:colOff>
      <xdr:row>104</xdr:row>
      <xdr:rowOff>152400</xdr:rowOff>
    </xdr:to>
    <xdr:graphicFrame>
      <xdr:nvGraphicFramePr>
        <xdr:cNvPr id="2" name="Chart 6"/>
        <xdr:cNvGraphicFramePr/>
      </xdr:nvGraphicFramePr>
      <xdr:xfrm>
        <a:off x="5895975" y="12725400"/>
        <a:ext cx="58864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49</xdr:row>
      <xdr:rowOff>142875</xdr:rowOff>
    </xdr:from>
    <xdr:to>
      <xdr:col>8</xdr:col>
      <xdr:colOff>19050</xdr:colOff>
      <xdr:row>76</xdr:row>
      <xdr:rowOff>66675</xdr:rowOff>
    </xdr:to>
    <xdr:graphicFrame>
      <xdr:nvGraphicFramePr>
        <xdr:cNvPr id="3" name="Chart 8"/>
        <xdr:cNvGraphicFramePr/>
      </xdr:nvGraphicFramePr>
      <xdr:xfrm>
        <a:off x="133350" y="8105775"/>
        <a:ext cx="55721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50</xdr:row>
      <xdr:rowOff>9525</xdr:rowOff>
    </xdr:from>
    <xdr:to>
      <xdr:col>16</xdr:col>
      <xdr:colOff>419100</xdr:colOff>
      <xdr:row>76</xdr:row>
      <xdr:rowOff>95250</xdr:rowOff>
    </xdr:to>
    <xdr:graphicFrame>
      <xdr:nvGraphicFramePr>
        <xdr:cNvPr id="4" name="Chart 9"/>
        <xdr:cNvGraphicFramePr/>
      </xdr:nvGraphicFramePr>
      <xdr:xfrm>
        <a:off x="5857875" y="8134350"/>
        <a:ext cx="58864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125</xdr:row>
      <xdr:rowOff>28575</xdr:rowOff>
    </xdr:from>
    <xdr:to>
      <xdr:col>8</xdr:col>
      <xdr:colOff>66675</xdr:colOff>
      <xdr:row>151</xdr:row>
      <xdr:rowOff>114300</xdr:rowOff>
    </xdr:to>
    <xdr:graphicFrame>
      <xdr:nvGraphicFramePr>
        <xdr:cNvPr id="5" name="Chart 10"/>
        <xdr:cNvGraphicFramePr/>
      </xdr:nvGraphicFramePr>
      <xdr:xfrm>
        <a:off x="114300" y="20297775"/>
        <a:ext cx="5638800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153</xdr:row>
      <xdr:rowOff>28575</xdr:rowOff>
    </xdr:from>
    <xdr:to>
      <xdr:col>8</xdr:col>
      <xdr:colOff>114300</xdr:colOff>
      <xdr:row>179</xdr:row>
      <xdr:rowOff>114300</xdr:rowOff>
    </xdr:to>
    <xdr:graphicFrame>
      <xdr:nvGraphicFramePr>
        <xdr:cNvPr id="6" name="Chart 11"/>
        <xdr:cNvGraphicFramePr/>
      </xdr:nvGraphicFramePr>
      <xdr:xfrm>
        <a:off x="123825" y="24831675"/>
        <a:ext cx="567690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304800</xdr:colOff>
      <xdr:row>125</xdr:row>
      <xdr:rowOff>28575</xdr:rowOff>
    </xdr:from>
    <xdr:to>
      <xdr:col>16</xdr:col>
      <xdr:colOff>552450</xdr:colOff>
      <xdr:row>151</xdr:row>
      <xdr:rowOff>114300</xdr:rowOff>
    </xdr:to>
    <xdr:graphicFrame>
      <xdr:nvGraphicFramePr>
        <xdr:cNvPr id="7" name="Chart 12"/>
        <xdr:cNvGraphicFramePr/>
      </xdr:nvGraphicFramePr>
      <xdr:xfrm>
        <a:off x="5991225" y="20297775"/>
        <a:ext cx="5886450" cy="4295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304800</xdr:colOff>
      <xdr:row>153</xdr:row>
      <xdr:rowOff>19050</xdr:rowOff>
    </xdr:from>
    <xdr:to>
      <xdr:col>16</xdr:col>
      <xdr:colOff>552450</xdr:colOff>
      <xdr:row>179</xdr:row>
      <xdr:rowOff>104775</xdr:rowOff>
    </xdr:to>
    <xdr:graphicFrame>
      <xdr:nvGraphicFramePr>
        <xdr:cNvPr id="8" name="Chart 13"/>
        <xdr:cNvGraphicFramePr/>
      </xdr:nvGraphicFramePr>
      <xdr:xfrm>
        <a:off x="5991225" y="24822150"/>
        <a:ext cx="5886450" cy="4295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9525</xdr:rowOff>
    </xdr:from>
    <xdr:to>
      <xdr:col>5</xdr:col>
      <xdr:colOff>95250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85725" y="2857500"/>
        <a:ext cx="5686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876300</xdr:colOff>
      <xdr:row>16</xdr:row>
      <xdr:rowOff>152400</xdr:rowOff>
    </xdr:from>
    <xdr:to>
      <xdr:col>15</xdr:col>
      <xdr:colOff>0</xdr:colOff>
      <xdr:row>47</xdr:row>
      <xdr:rowOff>104775</xdr:rowOff>
    </xdr:to>
    <xdr:graphicFrame>
      <xdr:nvGraphicFramePr>
        <xdr:cNvPr id="2" name="Chart 4"/>
        <xdr:cNvGraphicFramePr/>
      </xdr:nvGraphicFramePr>
      <xdr:xfrm>
        <a:off x="6553200" y="2838450"/>
        <a:ext cx="57721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49</xdr:row>
      <xdr:rowOff>9525</xdr:rowOff>
    </xdr:from>
    <xdr:to>
      <xdr:col>5</xdr:col>
      <xdr:colOff>133350</xdr:colOff>
      <xdr:row>79</xdr:row>
      <xdr:rowOff>123825</xdr:rowOff>
    </xdr:to>
    <xdr:graphicFrame>
      <xdr:nvGraphicFramePr>
        <xdr:cNvPr id="3" name="Chart 5"/>
        <xdr:cNvGraphicFramePr/>
      </xdr:nvGraphicFramePr>
      <xdr:xfrm>
        <a:off x="133350" y="8039100"/>
        <a:ext cx="56769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317"/>
  <sheetViews>
    <sheetView zoomScale="75" zoomScaleNormal="75" workbookViewId="0" topLeftCell="A1">
      <selection activeCell="D36" sqref="D36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7" ht="15" customHeight="1">
      <c r="A1" s="414"/>
      <c r="B1" s="414"/>
      <c r="C1" s="414"/>
      <c r="D1" s="414"/>
      <c r="F1" s="96"/>
      <c r="G1" s="96"/>
    </row>
    <row r="2" spans="1:7" ht="21.75" customHeight="1">
      <c r="A2" s="427" t="s">
        <v>238</v>
      </c>
      <c r="B2" s="135"/>
      <c r="C2" s="135"/>
      <c r="D2" s="135"/>
      <c r="E2" s="135"/>
      <c r="F2" s="412"/>
      <c r="G2" s="96"/>
    </row>
    <row r="3" spans="1:7" ht="17.25" customHeight="1">
      <c r="A3" s="113" t="s">
        <v>128</v>
      </c>
      <c r="B3" s="136"/>
      <c r="C3" s="136"/>
      <c r="D3" s="136"/>
      <c r="E3" s="136"/>
      <c r="F3" s="412"/>
      <c r="G3" s="96"/>
    </row>
    <row r="4" spans="1:7" ht="17.25" customHeight="1">
      <c r="A4" s="134" t="s">
        <v>125</v>
      </c>
      <c r="B4" s="111"/>
      <c r="C4" s="111"/>
      <c r="D4" s="111"/>
      <c r="E4" s="111"/>
      <c r="F4" s="413"/>
      <c r="G4" s="32"/>
    </row>
    <row r="5" spans="1:7" ht="17.25" customHeight="1">
      <c r="A5" s="110" t="s">
        <v>129</v>
      </c>
      <c r="B5" s="111"/>
      <c r="C5" s="111"/>
      <c r="D5" s="111"/>
      <c r="E5" s="111"/>
      <c r="F5" s="413"/>
      <c r="G5" s="214"/>
    </row>
    <row r="6" spans="1:7" ht="17.25" customHeight="1">
      <c r="A6" s="110" t="s">
        <v>130</v>
      </c>
      <c r="B6" s="111"/>
      <c r="C6" s="111"/>
      <c r="D6" s="111"/>
      <c r="E6" s="111"/>
      <c r="F6" s="413"/>
      <c r="G6" s="214"/>
    </row>
    <row r="7" spans="1:7" ht="17.25" customHeight="1">
      <c r="A7" s="110" t="s">
        <v>131</v>
      </c>
      <c r="B7" s="111"/>
      <c r="C7" s="111"/>
      <c r="D7" s="111"/>
      <c r="E7" s="111"/>
      <c r="F7" s="413"/>
      <c r="G7" s="214"/>
    </row>
    <row r="8" spans="1:7" ht="17.25" customHeight="1">
      <c r="A8" s="110" t="s">
        <v>132</v>
      </c>
      <c r="B8" s="111"/>
      <c r="C8" s="111"/>
      <c r="D8" s="111"/>
      <c r="E8" s="111"/>
      <c r="F8" s="413"/>
      <c r="G8" s="214"/>
    </row>
    <row r="9" spans="1:7" ht="17.25" customHeight="1">
      <c r="A9" s="110" t="s">
        <v>133</v>
      </c>
      <c r="B9" s="111"/>
      <c r="C9" s="111"/>
      <c r="D9" s="111"/>
      <c r="E9" s="111"/>
      <c r="F9" s="412"/>
      <c r="G9" s="392"/>
    </row>
    <row r="10" spans="1:7" ht="17.25" customHeight="1">
      <c r="A10" s="112"/>
      <c r="B10" s="112"/>
      <c r="C10" s="112"/>
      <c r="D10" s="112"/>
      <c r="E10" s="112"/>
      <c r="F10" s="412"/>
      <c r="G10" s="392"/>
    </row>
    <row r="11" spans="1:7" ht="17.25" customHeight="1">
      <c r="A11" s="134" t="s">
        <v>126</v>
      </c>
      <c r="B11" s="111"/>
      <c r="C11" s="111"/>
      <c r="D11" s="111"/>
      <c r="E11" s="111"/>
      <c r="F11" s="412"/>
      <c r="G11" s="392"/>
    </row>
    <row r="12" spans="1:7" ht="17.25" customHeight="1">
      <c r="A12" s="110" t="s">
        <v>134</v>
      </c>
      <c r="B12" s="111"/>
      <c r="C12" s="111"/>
      <c r="D12" s="111"/>
      <c r="E12" s="111"/>
      <c r="F12" s="412"/>
      <c r="G12" s="392"/>
    </row>
    <row r="13" spans="1:6" ht="17.25" customHeight="1">
      <c r="A13" s="110" t="s">
        <v>155</v>
      </c>
      <c r="B13" s="111"/>
      <c r="C13" s="111"/>
      <c r="D13" s="111"/>
      <c r="E13" s="111"/>
      <c r="F13" s="111"/>
    </row>
    <row r="14" spans="1:7" ht="17.25" customHeight="1">
      <c r="A14" s="110" t="s">
        <v>156</v>
      </c>
      <c r="B14" s="111"/>
      <c r="C14" s="111"/>
      <c r="D14" s="111"/>
      <c r="E14" s="111"/>
      <c r="F14" s="112"/>
      <c r="G14" s="132"/>
    </row>
    <row r="15" spans="1:7" ht="17.25" customHeight="1">
      <c r="A15" s="110" t="s">
        <v>157</v>
      </c>
      <c r="B15" s="111"/>
      <c r="C15" s="111"/>
      <c r="D15" s="111"/>
      <c r="E15" s="111"/>
      <c r="F15" s="111"/>
      <c r="G15" s="260"/>
    </row>
    <row r="16" spans="1:6" ht="17.25" customHeight="1">
      <c r="A16" s="110" t="s">
        <v>158</v>
      </c>
      <c r="B16" s="111"/>
      <c r="C16" s="111"/>
      <c r="D16" s="111"/>
      <c r="E16" s="111"/>
      <c r="F16" s="111"/>
    </row>
    <row r="17" spans="1:6" ht="17.25" customHeight="1">
      <c r="A17" s="110" t="s">
        <v>159</v>
      </c>
      <c r="B17" s="111"/>
      <c r="C17" s="111"/>
      <c r="D17" s="111"/>
      <c r="E17" s="111"/>
      <c r="F17" s="111"/>
    </row>
    <row r="18" spans="1:6" ht="17.25" customHeight="1">
      <c r="A18" s="110" t="s">
        <v>160</v>
      </c>
      <c r="B18" s="111"/>
      <c r="C18" s="111"/>
      <c r="D18" s="111"/>
      <c r="E18" s="111"/>
      <c r="F18" s="111"/>
    </row>
    <row r="19" spans="1:6" ht="17.25" customHeight="1">
      <c r="A19"/>
      <c r="B19" s="111"/>
      <c r="C19" s="111"/>
      <c r="D19" s="111"/>
      <c r="E19" s="111"/>
      <c r="F19" s="111"/>
    </row>
    <row r="20" spans="1:6" ht="17.25" customHeight="1">
      <c r="A20" s="113" t="s">
        <v>127</v>
      </c>
      <c r="B20" s="111"/>
      <c r="C20" s="111"/>
      <c r="D20" s="111"/>
      <c r="E20" s="111"/>
      <c r="F20" s="111"/>
    </row>
    <row r="21" spans="1:6" ht="17.25" customHeight="1">
      <c r="A21" s="111" t="s">
        <v>161</v>
      </c>
      <c r="B21" s="111"/>
      <c r="C21" s="111"/>
      <c r="D21" s="111"/>
      <c r="E21" s="111"/>
      <c r="F21"/>
    </row>
    <row r="22" spans="1:6" ht="17.25" customHeight="1">
      <c r="A22" s="111" t="s">
        <v>164</v>
      </c>
      <c r="B22" s="111"/>
      <c r="C22" s="111"/>
      <c r="D22" s="111"/>
      <c r="E22" s="111"/>
      <c r="F22"/>
    </row>
    <row r="23" spans="1:6" ht="17.25" customHeight="1">
      <c r="A23" s="111" t="s">
        <v>163</v>
      </c>
      <c r="B23"/>
      <c r="C23"/>
      <c r="D23"/>
      <c r="E23"/>
      <c r="F23"/>
    </row>
    <row r="24" spans="1:6" ht="17.25" customHeight="1">
      <c r="A24"/>
      <c r="B24" s="111" t="s">
        <v>162</v>
      </c>
      <c r="C24" s="111"/>
      <c r="D24" s="111"/>
      <c r="E24" s="111"/>
      <c r="F24" s="111"/>
    </row>
    <row r="25" spans="1:6" ht="17.25" customHeight="1">
      <c r="A25" s="111" t="s">
        <v>143</v>
      </c>
      <c r="B25"/>
      <c r="C25"/>
      <c r="D25"/>
      <c r="E25"/>
      <c r="F25"/>
    </row>
    <row r="26" spans="1:6" ht="17.25" customHeight="1">
      <c r="A26" s="134" t="s">
        <v>138</v>
      </c>
      <c r="B26"/>
      <c r="C26"/>
      <c r="D26"/>
      <c r="E26"/>
      <c r="F26"/>
    </row>
    <row r="27" spans="1:6" ht="17.25" customHeight="1">
      <c r="A27" s="111" t="s">
        <v>141</v>
      </c>
      <c r="B27"/>
      <c r="C27"/>
      <c r="D27"/>
      <c r="E27"/>
      <c r="F27"/>
    </row>
    <row r="28" spans="1:6" ht="17.25" customHeight="1">
      <c r="A28" s="111" t="s">
        <v>142</v>
      </c>
      <c r="B28"/>
      <c r="C28"/>
      <c r="D28"/>
      <c r="E28"/>
      <c r="F28"/>
    </row>
    <row r="29" spans="1:6" ht="17.25" customHeight="1">
      <c r="A29" s="111" t="s">
        <v>182</v>
      </c>
      <c r="B29"/>
      <c r="C29"/>
      <c r="D29"/>
      <c r="E29"/>
      <c r="F29"/>
    </row>
    <row r="30" spans="1:6" ht="17.25" customHeight="1">
      <c r="A30"/>
      <c r="B30"/>
      <c r="C30"/>
      <c r="D30"/>
      <c r="E30"/>
      <c r="F30"/>
    </row>
    <row r="31" spans="1:6" ht="17.25" customHeight="1">
      <c r="A31" s="134" t="s">
        <v>137</v>
      </c>
      <c r="B31"/>
      <c r="C31"/>
      <c r="D31"/>
      <c r="E31"/>
      <c r="F31"/>
    </row>
    <row r="32" spans="1:6" ht="17.25" customHeight="1">
      <c r="A32" s="111" t="s">
        <v>147</v>
      </c>
      <c r="B32"/>
      <c r="C32"/>
      <c r="D32"/>
      <c r="E32"/>
      <c r="F32"/>
    </row>
    <row r="33" spans="1:6" ht="17.25" customHeight="1">
      <c r="A33" s="111" t="s">
        <v>140</v>
      </c>
      <c r="B33"/>
      <c r="C33"/>
      <c r="D33"/>
      <c r="E33"/>
      <c r="F33"/>
    </row>
    <row r="34" spans="1:6" ht="17.25" customHeight="1">
      <c r="A34" s="111" t="s">
        <v>139</v>
      </c>
      <c r="B34"/>
      <c r="C34"/>
      <c r="D34"/>
      <c r="E34"/>
      <c r="F34"/>
    </row>
    <row r="35" spans="1:6" ht="17.25" customHeight="1">
      <c r="A35" s="111" t="s">
        <v>183</v>
      </c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5.75">
      <c r="A37" s="113" t="s">
        <v>374</v>
      </c>
      <c r="F37"/>
    </row>
    <row r="38" ht="12.75">
      <c r="F38"/>
    </row>
    <row r="39" spans="1:6" s="30" customFormat="1" ht="15.75">
      <c r="A39" s="337" t="s">
        <v>368</v>
      </c>
      <c r="B39" s="73"/>
      <c r="C39"/>
      <c r="D39"/>
      <c r="E39"/>
      <c r="F39"/>
    </row>
    <row r="40" spans="1:6" s="30" customFormat="1" ht="15.75">
      <c r="A40" s="110" t="s">
        <v>369</v>
      </c>
      <c r="B40" s="71"/>
      <c r="C40"/>
      <c r="D40"/>
      <c r="E40"/>
      <c r="F40"/>
    </row>
    <row r="41" spans="1:12" ht="15">
      <c r="A41" s="111" t="s">
        <v>364</v>
      </c>
      <c r="B41"/>
      <c r="C41"/>
      <c r="D41"/>
      <c r="E41"/>
      <c r="F41"/>
      <c r="I41" s="96"/>
      <c r="J41" s="96"/>
      <c r="K41" s="96"/>
      <c r="L41" s="96"/>
    </row>
    <row r="42" spans="1:12" ht="15">
      <c r="A42" s="111" t="s">
        <v>365</v>
      </c>
      <c r="B42"/>
      <c r="C42"/>
      <c r="D42"/>
      <c r="E42"/>
      <c r="F42"/>
      <c r="I42" s="96"/>
      <c r="J42" s="96"/>
      <c r="K42" s="96"/>
      <c r="L42" s="96"/>
    </row>
    <row r="43" spans="1:12" ht="15.75">
      <c r="A43" s="424" t="s">
        <v>373</v>
      </c>
      <c r="B43" s="425"/>
      <c r="C43" s="426"/>
      <c r="D43" s="425"/>
      <c r="E43" s="425"/>
      <c r="I43" s="96"/>
      <c r="J43" s="96"/>
      <c r="K43" s="96"/>
      <c r="L43" s="96"/>
    </row>
    <row r="44" spans="1:12" ht="12.75">
      <c r="A44" s="96"/>
      <c r="B44" s="392"/>
      <c r="C44" s="393"/>
      <c r="D44" s="394"/>
      <c r="E44" s="117"/>
      <c r="F44" s="96"/>
      <c r="G44" s="96"/>
      <c r="H44" s="96"/>
      <c r="I44" s="96"/>
      <c r="J44" s="96"/>
      <c r="K44" s="96"/>
      <c r="L44" s="96"/>
    </row>
    <row r="45" spans="1:12" ht="12.75">
      <c r="A45" s="96"/>
      <c r="B45" s="96"/>
      <c r="C45" s="122"/>
      <c r="D45" s="394"/>
      <c r="E45" s="117"/>
      <c r="F45" s="96"/>
      <c r="G45" s="96"/>
      <c r="H45" s="96"/>
      <c r="I45" s="96"/>
      <c r="J45" s="96"/>
      <c r="K45" s="96"/>
      <c r="L45" s="96"/>
    </row>
    <row r="46" spans="1:12" ht="12.75">
      <c r="A46" s="96"/>
      <c r="B46" s="96"/>
      <c r="C46" s="122"/>
      <c r="D46" s="394"/>
      <c r="E46" s="117"/>
      <c r="F46" s="96"/>
      <c r="G46" s="96"/>
      <c r="H46" s="96"/>
      <c r="I46" s="96"/>
      <c r="J46" s="96"/>
      <c r="K46" s="96"/>
      <c r="L46" s="96"/>
    </row>
    <row r="47" spans="1:12" ht="12.75">
      <c r="A47" s="96"/>
      <c r="B47" s="391"/>
      <c r="C47" s="395"/>
      <c r="D47" s="96"/>
      <c r="E47" s="117"/>
      <c r="F47" s="96"/>
      <c r="G47" s="96"/>
      <c r="H47" s="96"/>
      <c r="I47" s="96"/>
      <c r="J47" s="96"/>
      <c r="K47" s="96"/>
      <c r="L47" s="96"/>
    </row>
    <row r="48" spans="1:12" ht="12.75">
      <c r="A48" s="32"/>
      <c r="B48" s="96"/>
      <c r="C48" s="96"/>
      <c r="D48" s="32"/>
      <c r="E48" s="117"/>
      <c r="F48" s="96"/>
      <c r="G48" s="96"/>
      <c r="H48" s="96"/>
      <c r="I48" s="96"/>
      <c r="J48" s="96"/>
      <c r="K48" s="96"/>
      <c r="L48" s="96"/>
    </row>
    <row r="49" spans="1:12" ht="12.75">
      <c r="A49" s="32"/>
      <c r="B49" s="96"/>
      <c r="C49" s="96"/>
      <c r="D49" s="32"/>
      <c r="E49" s="117"/>
      <c r="F49" s="32"/>
      <c r="G49" s="396"/>
      <c r="H49" s="396"/>
      <c r="I49" s="396"/>
      <c r="J49" s="96"/>
      <c r="K49" s="96"/>
      <c r="L49" s="96"/>
    </row>
    <row r="50" spans="1:12" ht="12.75">
      <c r="A50" s="85"/>
      <c r="B50" s="214"/>
      <c r="C50" s="395"/>
      <c r="D50" s="96"/>
      <c r="E50" s="117"/>
      <c r="F50" s="85"/>
      <c r="G50" s="96"/>
      <c r="H50" s="96"/>
      <c r="I50" s="96"/>
      <c r="J50" s="96"/>
      <c r="K50" s="96"/>
      <c r="L50" s="96"/>
    </row>
    <row r="51" spans="1:12" ht="12.75">
      <c r="A51" s="96"/>
      <c r="B51" s="214"/>
      <c r="C51" s="395"/>
      <c r="D51" s="96"/>
      <c r="E51" s="117"/>
      <c r="F51" s="85"/>
      <c r="G51" s="85"/>
      <c r="H51" s="96"/>
      <c r="I51" s="96"/>
      <c r="J51" s="96"/>
      <c r="K51" s="96"/>
      <c r="L51" s="96"/>
    </row>
    <row r="52" spans="1:12" ht="12.75">
      <c r="A52" s="96"/>
      <c r="B52" s="214"/>
      <c r="C52" s="395"/>
      <c r="D52" s="96"/>
      <c r="E52" s="117"/>
      <c r="F52" s="85"/>
      <c r="G52" s="96"/>
      <c r="H52" s="96"/>
      <c r="I52" s="96"/>
      <c r="J52" s="96"/>
      <c r="K52" s="96"/>
      <c r="L52" s="96"/>
    </row>
    <row r="53" spans="1:12" ht="12.75">
      <c r="A53" s="96"/>
      <c r="B53" s="214"/>
      <c r="C53" s="395"/>
      <c r="D53" s="96"/>
      <c r="E53" s="117"/>
      <c r="F53" s="85"/>
      <c r="G53" s="96"/>
      <c r="H53" s="96"/>
      <c r="I53" s="96"/>
      <c r="J53" s="96"/>
      <c r="K53" s="96"/>
      <c r="L53" s="96"/>
    </row>
    <row r="54" spans="1:12" ht="12.75">
      <c r="A54" s="85"/>
      <c r="B54" s="87"/>
      <c r="C54" s="397"/>
      <c r="D54" s="85"/>
      <c r="E54" s="117"/>
      <c r="F54" s="85"/>
      <c r="G54" s="390"/>
      <c r="H54" s="390"/>
      <c r="I54" s="390"/>
      <c r="J54" s="96"/>
      <c r="K54" s="96"/>
      <c r="L54" s="96"/>
    </row>
    <row r="55" spans="1:12" ht="12.75">
      <c r="A55" s="32"/>
      <c r="B55" s="96"/>
      <c r="C55" s="96"/>
      <c r="D55" s="32"/>
      <c r="E55" s="117"/>
      <c r="F55" s="85"/>
      <c r="G55" s="32"/>
      <c r="H55" s="32"/>
      <c r="I55" s="32"/>
      <c r="J55" s="96"/>
      <c r="K55" s="96"/>
      <c r="L55" s="96"/>
    </row>
    <row r="56" spans="1:12" s="30" customFormat="1" ht="12.75">
      <c r="A56" s="32"/>
      <c r="B56" s="96"/>
      <c r="C56" s="96"/>
      <c r="D56" s="32"/>
      <c r="E56" s="96"/>
      <c r="F56" s="85"/>
      <c r="G56" s="32"/>
      <c r="H56" s="32"/>
      <c r="I56" s="32"/>
      <c r="J56" s="96"/>
      <c r="K56" s="96"/>
      <c r="L56" s="96"/>
    </row>
    <row r="57" spans="1:12" ht="12.75">
      <c r="A57" s="85"/>
      <c r="B57" s="214"/>
      <c r="C57" s="117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96"/>
      <c r="B58" s="214"/>
      <c r="C58" s="117"/>
      <c r="D58" s="96"/>
      <c r="E58" s="96"/>
      <c r="F58" s="32"/>
      <c r="G58" s="96"/>
      <c r="H58" s="96"/>
      <c r="I58" s="96"/>
      <c r="J58" s="96"/>
      <c r="K58" s="96"/>
      <c r="L58" s="96"/>
    </row>
    <row r="59" spans="1:12" ht="12.75">
      <c r="A59" s="96"/>
      <c r="B59" s="214"/>
      <c r="C59" s="117"/>
      <c r="D59" s="96"/>
      <c r="E59" s="96"/>
      <c r="F59" s="32"/>
      <c r="G59" s="117"/>
      <c r="H59" s="392"/>
      <c r="I59" s="117"/>
      <c r="J59" s="96"/>
      <c r="K59" s="96"/>
      <c r="L59" s="96"/>
    </row>
    <row r="60" spans="1:12" ht="12.75">
      <c r="A60" s="96"/>
      <c r="B60" s="214"/>
      <c r="C60" s="117"/>
      <c r="D60" s="96"/>
      <c r="E60" s="96"/>
      <c r="F60" s="96"/>
      <c r="G60" s="96"/>
      <c r="H60" s="96"/>
      <c r="I60" s="96"/>
      <c r="J60" s="96"/>
      <c r="K60" s="96"/>
      <c r="L60" s="96"/>
    </row>
    <row r="61" spans="1:12" ht="12.75">
      <c r="A61" s="85"/>
      <c r="B61" s="214"/>
      <c r="C61" s="117"/>
      <c r="D61" s="85"/>
      <c r="E61" s="390"/>
      <c r="F61" s="32"/>
      <c r="G61" s="96"/>
      <c r="H61" s="96"/>
      <c r="I61" s="32"/>
      <c r="J61" s="96"/>
      <c r="K61" s="96"/>
      <c r="L61" s="96"/>
    </row>
    <row r="62" spans="1:12" ht="12.75">
      <c r="A62" s="32"/>
      <c r="B62" s="96"/>
      <c r="C62" s="96"/>
      <c r="D62" s="32"/>
      <c r="E62" s="96"/>
      <c r="F62" s="96"/>
      <c r="G62" s="96"/>
      <c r="H62" s="96"/>
      <c r="I62" s="96"/>
      <c r="J62" s="96"/>
      <c r="K62" s="96"/>
      <c r="L62" s="96"/>
    </row>
    <row r="63" spans="1:12" ht="12.75">
      <c r="A63" s="32"/>
      <c r="B63" s="390"/>
      <c r="C63" s="32"/>
      <c r="D63" s="96"/>
      <c r="E63" s="96"/>
      <c r="F63" s="32"/>
      <c r="G63" s="96"/>
      <c r="H63" s="96"/>
      <c r="I63" s="32"/>
      <c r="J63" s="96"/>
      <c r="K63" s="96"/>
      <c r="L63" s="96"/>
    </row>
    <row r="64" spans="1:12" ht="12.75">
      <c r="A64" s="32"/>
      <c r="B64" s="96"/>
      <c r="C64" s="96"/>
      <c r="D64" s="85"/>
      <c r="E64" s="96"/>
      <c r="F64" s="85"/>
      <c r="G64" s="391"/>
      <c r="H64" s="96"/>
      <c r="I64" s="96"/>
      <c r="J64" s="96"/>
      <c r="K64" s="96"/>
      <c r="L64" s="96"/>
    </row>
    <row r="65" spans="1:12" ht="12.75">
      <c r="A65" s="32"/>
      <c r="B65" s="96"/>
      <c r="C65" s="96"/>
      <c r="D65" s="85"/>
      <c r="E65" s="96"/>
      <c r="F65" s="96"/>
      <c r="G65" s="391"/>
      <c r="H65" s="96"/>
      <c r="I65" s="96"/>
      <c r="J65" s="96"/>
      <c r="K65" s="96"/>
      <c r="L65" s="96"/>
    </row>
    <row r="66" spans="1:12" ht="12.75">
      <c r="A66" s="32"/>
      <c r="B66" s="96"/>
      <c r="C66" s="96"/>
      <c r="D66" s="85"/>
      <c r="E66" s="96"/>
      <c r="F66" s="32"/>
      <c r="G66" s="96"/>
      <c r="H66" s="96"/>
      <c r="I66" s="96"/>
      <c r="J66" s="96"/>
      <c r="K66" s="96"/>
      <c r="L66" s="96"/>
    </row>
    <row r="67" spans="1:12" ht="12.75">
      <c r="A67" s="32"/>
      <c r="B67" s="96"/>
      <c r="C67" s="96"/>
      <c r="D67" s="85"/>
      <c r="E67" s="96"/>
      <c r="F67" s="85"/>
      <c r="G67" s="96"/>
      <c r="H67" s="96"/>
      <c r="I67" s="96"/>
      <c r="J67" s="96"/>
      <c r="K67" s="96"/>
      <c r="L67" s="96"/>
    </row>
    <row r="68" spans="1:12" ht="12.75">
      <c r="A68" s="32"/>
      <c r="B68" s="85"/>
      <c r="C68" s="398"/>
      <c r="D68" s="49"/>
      <c r="E68" s="96"/>
      <c r="F68" s="85"/>
      <c r="G68" s="391"/>
      <c r="H68" s="96"/>
      <c r="I68" s="85"/>
      <c r="J68" s="96"/>
      <c r="K68" s="96"/>
      <c r="L68" s="96"/>
    </row>
    <row r="69" spans="1:12" ht="12.75">
      <c r="A69" s="32"/>
      <c r="B69" s="96"/>
      <c r="C69" s="96"/>
      <c r="D69" s="96"/>
      <c r="E69" s="96"/>
      <c r="F69" s="32"/>
      <c r="G69" s="117"/>
      <c r="H69" s="392"/>
      <c r="I69" s="117"/>
      <c r="J69" s="96"/>
      <c r="K69" s="96"/>
      <c r="L69" s="96"/>
    </row>
    <row r="70" spans="1:12" ht="12.75">
      <c r="A70" s="32"/>
      <c r="B70" s="185"/>
      <c r="C70" s="121"/>
      <c r="D70" s="85"/>
      <c r="E70" s="96"/>
      <c r="F70" s="32"/>
      <c r="G70" s="96"/>
      <c r="H70" s="96"/>
      <c r="I70" s="32"/>
      <c r="J70" s="96"/>
      <c r="K70" s="96"/>
      <c r="L70" s="96"/>
    </row>
    <row r="71" spans="1:12" ht="12.75">
      <c r="A71" s="32"/>
      <c r="B71" s="32"/>
      <c r="C71" s="32"/>
      <c r="D71" s="85"/>
      <c r="E71" s="96"/>
      <c r="F71" s="32"/>
      <c r="G71" s="96"/>
      <c r="H71" s="96"/>
      <c r="I71" s="96"/>
      <c r="J71" s="96"/>
      <c r="K71" s="96"/>
      <c r="L71" s="96"/>
    </row>
    <row r="72" spans="1:12" ht="12.75">
      <c r="A72" s="32"/>
      <c r="B72" s="32"/>
      <c r="C72" s="32"/>
      <c r="D72" s="32"/>
      <c r="E72" s="96"/>
      <c r="F72" s="85"/>
      <c r="G72" s="391"/>
      <c r="H72" s="96"/>
      <c r="I72" s="85"/>
      <c r="J72" s="96"/>
      <c r="K72" s="96"/>
      <c r="L72" s="96"/>
    </row>
    <row r="73" spans="1:12" ht="12.75">
      <c r="A73" s="96"/>
      <c r="B73" s="96"/>
      <c r="C73" s="96"/>
      <c r="D73" s="96"/>
      <c r="E73" s="96"/>
      <c r="F73" s="96"/>
      <c r="G73" s="391"/>
      <c r="H73" s="96"/>
      <c r="I73" s="85"/>
      <c r="J73" s="96"/>
      <c r="K73" s="96"/>
      <c r="L73" s="96"/>
    </row>
    <row r="74" spans="1:12" ht="12.75">
      <c r="A74" s="32"/>
      <c r="B74" s="96"/>
      <c r="C74" s="96"/>
      <c r="D74" s="96"/>
      <c r="E74" s="96"/>
      <c r="F74" s="96"/>
      <c r="G74" s="391"/>
      <c r="H74" s="117"/>
      <c r="I74" s="122"/>
      <c r="J74" s="96"/>
      <c r="K74" s="96"/>
      <c r="L74" s="96"/>
    </row>
    <row r="75" spans="1:12" ht="12.75">
      <c r="A75" s="85"/>
      <c r="B75" s="391"/>
      <c r="C75" s="96"/>
      <c r="D75" s="88"/>
      <c r="E75" s="96"/>
      <c r="F75" s="32"/>
      <c r="G75" s="96"/>
      <c r="H75" s="96"/>
      <c r="I75" s="96"/>
      <c r="J75" s="96"/>
      <c r="K75" s="96"/>
      <c r="L75" s="96"/>
    </row>
    <row r="76" spans="1:12" ht="12.75">
      <c r="A76" s="85"/>
      <c r="B76" s="391"/>
      <c r="C76" s="96"/>
      <c r="D76" s="88"/>
      <c r="E76" s="96"/>
      <c r="F76" s="85"/>
      <c r="G76" s="96"/>
      <c r="H76" s="96"/>
      <c r="I76" s="96"/>
      <c r="J76" s="96"/>
      <c r="K76" s="96"/>
      <c r="L76" s="96"/>
    </row>
    <row r="77" spans="1:12" ht="12.75">
      <c r="A77" s="85"/>
      <c r="B77" s="391"/>
      <c r="C77" s="96"/>
      <c r="D77" s="88"/>
      <c r="E77" s="96"/>
      <c r="F77" s="96"/>
      <c r="G77" s="391"/>
      <c r="H77" s="96"/>
      <c r="I77" s="85"/>
      <c r="J77" s="96"/>
      <c r="K77" s="96"/>
      <c r="L77" s="96"/>
    </row>
    <row r="78" spans="1:12" ht="12.75">
      <c r="A78" s="85"/>
      <c r="B78" s="87"/>
      <c r="C78" s="85"/>
      <c r="D78" s="85"/>
      <c r="E78" s="96"/>
      <c r="F78" s="32"/>
      <c r="G78" s="117"/>
      <c r="H78" s="392"/>
      <c r="I78" s="117"/>
      <c r="J78" s="96"/>
      <c r="K78" s="96"/>
      <c r="L78" s="96"/>
    </row>
    <row r="79" spans="1:12" ht="12.75">
      <c r="A79" s="85"/>
      <c r="B79" s="391"/>
      <c r="C79" s="96"/>
      <c r="D79" s="88"/>
      <c r="E79" s="96"/>
      <c r="F79" s="96"/>
      <c r="G79" s="96"/>
      <c r="H79" s="96"/>
      <c r="I79" s="96"/>
      <c r="J79" s="96"/>
      <c r="K79" s="96"/>
      <c r="L79" s="96"/>
    </row>
    <row r="80" spans="1:12" ht="12.75">
      <c r="A80" s="32"/>
      <c r="B80" s="32"/>
      <c r="C80" s="32"/>
      <c r="D80" s="85"/>
      <c r="E80" s="96"/>
      <c r="F80" s="96"/>
      <c r="G80" s="96"/>
      <c r="H80" s="96"/>
      <c r="I80" s="96"/>
      <c r="J80" s="96"/>
      <c r="K80" s="96"/>
      <c r="L80" s="96"/>
    </row>
    <row r="81" spans="1:12" ht="12.75">
      <c r="A81" s="32"/>
      <c r="B81" s="32"/>
      <c r="C81" s="32"/>
      <c r="D81" s="85"/>
      <c r="E81" s="96"/>
      <c r="F81" s="96"/>
      <c r="G81" s="96"/>
      <c r="H81" s="96"/>
      <c r="I81" s="96"/>
      <c r="J81" s="96"/>
      <c r="K81" s="96"/>
      <c r="L81" s="96"/>
    </row>
    <row r="82" spans="1:12" ht="12.75">
      <c r="A82" s="32"/>
      <c r="B82" s="32"/>
      <c r="C82" s="32"/>
      <c r="D82" s="96"/>
      <c r="E82" s="96"/>
      <c r="F82" s="96"/>
      <c r="G82" s="96"/>
      <c r="H82" s="96"/>
      <c r="I82" s="96"/>
      <c r="J82" s="96"/>
      <c r="K82" s="96"/>
      <c r="L82" s="96"/>
    </row>
    <row r="83" spans="1:12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15.75">
      <c r="A84" s="399"/>
      <c r="B84" s="96"/>
      <c r="C84" s="96"/>
      <c r="D84" s="32"/>
      <c r="E84" s="96"/>
      <c r="F84" s="96"/>
      <c r="G84" s="96"/>
      <c r="H84" s="96"/>
      <c r="I84" s="96"/>
      <c r="J84" s="96"/>
      <c r="K84" s="96"/>
      <c r="L84" s="96"/>
    </row>
    <row r="85" spans="1:8" ht="12.75">
      <c r="A85" s="96"/>
      <c r="B85" s="96"/>
      <c r="C85" s="96"/>
      <c r="D85" s="96"/>
      <c r="E85" s="96"/>
      <c r="F85" s="96"/>
      <c r="G85" s="96"/>
      <c r="H85" s="96"/>
    </row>
    <row r="86" spans="1:9" s="30" customFormat="1" ht="12.75">
      <c r="A86" s="96"/>
      <c r="B86" s="96"/>
      <c r="C86" s="96"/>
      <c r="D86" s="96"/>
      <c r="E86" s="96"/>
      <c r="F86" s="32"/>
      <c r="G86" s="85"/>
      <c r="H86" s="398"/>
      <c r="I86" s="49"/>
    </row>
    <row r="87" spans="1:8" ht="15">
      <c r="A87" s="400"/>
      <c r="B87" s="179"/>
      <c r="C87" s="179"/>
      <c r="D87" s="179"/>
      <c r="E87" s="401"/>
      <c r="F87" s="402"/>
      <c r="G87" s="402"/>
      <c r="H87" s="96"/>
    </row>
    <row r="88" spans="1:8" ht="15.75">
      <c r="A88" s="403"/>
      <c r="B88" s="403"/>
      <c r="C88" s="403"/>
      <c r="D88" s="403"/>
      <c r="E88" s="404"/>
      <c r="F88" s="405"/>
      <c r="G88" s="406"/>
      <c r="H88" s="96"/>
    </row>
    <row r="89" spans="1:8" ht="15.75">
      <c r="A89" s="403"/>
      <c r="B89" s="407"/>
      <c r="C89" s="403"/>
      <c r="D89" s="403"/>
      <c r="E89" s="408"/>
      <c r="F89" s="409"/>
      <c r="G89" s="410"/>
      <c r="H89" s="96"/>
    </row>
    <row r="90" spans="1:8" ht="12.75">
      <c r="A90" s="403"/>
      <c r="B90" s="407"/>
      <c r="C90" s="403"/>
      <c r="D90" s="403"/>
      <c r="E90" s="408"/>
      <c r="F90" s="403"/>
      <c r="G90" s="403"/>
      <c r="H90" s="96"/>
    </row>
    <row r="91" spans="1:8" ht="12.75">
      <c r="A91" s="403"/>
      <c r="B91" s="407"/>
      <c r="C91" s="403"/>
      <c r="D91" s="403"/>
      <c r="E91" s="408"/>
      <c r="F91" s="408"/>
      <c r="G91" s="403"/>
      <c r="H91" s="96"/>
    </row>
    <row r="92" spans="1:8" ht="12.75">
      <c r="A92" s="403"/>
      <c r="B92" s="403"/>
      <c r="C92" s="411"/>
      <c r="D92" s="403"/>
      <c r="E92" s="408"/>
      <c r="F92" s="403"/>
      <c r="G92" s="403"/>
      <c r="H92" s="96"/>
    </row>
    <row r="93" spans="1:8" ht="12.75">
      <c r="A93" s="403"/>
      <c r="B93" s="403"/>
      <c r="C93" s="411"/>
      <c r="D93" s="403"/>
      <c r="E93" s="408"/>
      <c r="F93" s="408"/>
      <c r="G93" s="403"/>
      <c r="H93" s="96"/>
    </row>
    <row r="94" spans="1:8" ht="12.75">
      <c r="A94" s="403"/>
      <c r="B94" s="403"/>
      <c r="C94" s="411"/>
      <c r="D94" s="403"/>
      <c r="E94" s="408"/>
      <c r="F94" s="408"/>
      <c r="G94" s="403"/>
      <c r="H94" s="96"/>
    </row>
    <row r="95" spans="1:8" ht="12.75">
      <c r="A95" s="403"/>
      <c r="B95" s="403"/>
      <c r="C95" s="411"/>
      <c r="D95" s="403"/>
      <c r="E95" s="408"/>
      <c r="F95" s="408"/>
      <c r="G95" s="403"/>
      <c r="H95" s="96"/>
    </row>
    <row r="96" spans="1:8" ht="12.75">
      <c r="A96" s="403"/>
      <c r="B96" s="403"/>
      <c r="C96" s="411"/>
      <c r="D96" s="403"/>
      <c r="E96" s="408"/>
      <c r="F96" s="408"/>
      <c r="G96" s="403"/>
      <c r="H96" s="96"/>
    </row>
    <row r="97" spans="1:8" ht="12.75">
      <c r="A97" s="403"/>
      <c r="B97" s="403"/>
      <c r="C97" s="411"/>
      <c r="D97" s="403"/>
      <c r="E97" s="408"/>
      <c r="F97" s="408"/>
      <c r="G97" s="403"/>
      <c r="H97" s="96"/>
    </row>
    <row r="98" spans="1:8" ht="12.75">
      <c r="A98" s="403"/>
      <c r="B98" s="403"/>
      <c r="C98" s="411"/>
      <c r="D98" s="403"/>
      <c r="E98" s="408"/>
      <c r="F98" s="408"/>
      <c r="G98" s="403"/>
      <c r="H98" s="96"/>
    </row>
    <row r="99" spans="1:8" ht="12.75">
      <c r="A99" s="403"/>
      <c r="B99" s="403"/>
      <c r="C99" s="411"/>
      <c r="D99" s="403"/>
      <c r="E99" s="408"/>
      <c r="F99" s="408"/>
      <c r="G99" s="403"/>
      <c r="H99" s="96"/>
    </row>
    <row r="100" spans="1:8" ht="12.75">
      <c r="A100" s="403"/>
      <c r="B100" s="403"/>
      <c r="C100" s="411"/>
      <c r="D100" s="403"/>
      <c r="E100" s="408"/>
      <c r="F100" s="408"/>
      <c r="G100" s="403"/>
      <c r="H100" s="96"/>
    </row>
    <row r="101" spans="1:8" ht="12.75">
      <c r="A101" s="403"/>
      <c r="B101" s="403"/>
      <c r="C101" s="411"/>
      <c r="D101" s="403"/>
      <c r="E101" s="408"/>
      <c r="F101" s="408"/>
      <c r="G101" s="403"/>
      <c r="H101" s="96"/>
    </row>
    <row r="102" spans="1:8" ht="12.75">
      <c r="A102" s="96"/>
      <c r="B102" s="96"/>
      <c r="C102" s="96"/>
      <c r="D102" s="96"/>
      <c r="E102" s="96"/>
      <c r="F102" s="96"/>
      <c r="G102" s="96"/>
      <c r="H102" s="96"/>
    </row>
    <row r="103" spans="1:8" ht="12.75">
      <c r="A103" s="32"/>
      <c r="B103" s="32"/>
      <c r="C103" s="32"/>
      <c r="D103" s="85"/>
      <c r="E103" s="96"/>
      <c r="F103" s="96"/>
      <c r="G103" s="96"/>
      <c r="H103" s="96"/>
    </row>
    <row r="104" spans="1:8" ht="12.75">
      <c r="A104" s="96"/>
      <c r="B104" s="96"/>
      <c r="C104" s="96"/>
      <c r="D104" s="96"/>
      <c r="E104" s="96"/>
      <c r="F104" s="96"/>
      <c r="G104" s="96"/>
      <c r="H104" s="96"/>
    </row>
    <row r="105" spans="1:8" ht="15.75">
      <c r="A105" s="399"/>
      <c r="B105" s="96"/>
      <c r="C105" s="96"/>
      <c r="D105" s="96"/>
      <c r="E105" s="96"/>
      <c r="F105" s="96"/>
      <c r="G105" s="96"/>
      <c r="H105" s="96"/>
    </row>
    <row r="106" spans="1:8" ht="12.75">
      <c r="A106" s="96"/>
      <c r="B106" s="96"/>
      <c r="C106" s="96"/>
      <c r="D106" s="96"/>
      <c r="E106" s="96"/>
      <c r="F106" s="96"/>
      <c r="G106" s="85"/>
      <c r="H106" s="96"/>
    </row>
    <row r="107" spans="1:8" ht="15">
      <c r="A107" s="400"/>
      <c r="B107" s="179"/>
      <c r="C107" s="179"/>
      <c r="D107" s="179"/>
      <c r="E107" s="401"/>
      <c r="F107" s="402"/>
      <c r="G107" s="402"/>
      <c r="H107" s="96"/>
    </row>
    <row r="108" spans="1:8" ht="15.75">
      <c r="A108" s="403"/>
      <c r="B108" s="403"/>
      <c r="C108" s="403"/>
      <c r="D108" s="403"/>
      <c r="E108" s="404"/>
      <c r="F108" s="405"/>
      <c r="G108" s="406"/>
      <c r="H108" s="96"/>
    </row>
    <row r="109" spans="1:8" ht="15.75">
      <c r="A109" s="403"/>
      <c r="B109" s="407"/>
      <c r="C109" s="403"/>
      <c r="D109" s="403"/>
      <c r="E109" s="408"/>
      <c r="F109" s="409"/>
      <c r="G109" s="410"/>
      <c r="H109" s="96"/>
    </row>
    <row r="110" spans="1:8" ht="12.75">
      <c r="A110" s="403"/>
      <c r="B110" s="407"/>
      <c r="C110" s="403"/>
      <c r="D110" s="403"/>
      <c r="E110" s="408"/>
      <c r="F110" s="403"/>
      <c r="G110" s="403"/>
      <c r="H110" s="96"/>
    </row>
    <row r="111" spans="1:8" ht="12.75">
      <c r="A111" s="403"/>
      <c r="B111" s="407"/>
      <c r="C111" s="403"/>
      <c r="D111" s="403"/>
      <c r="E111" s="408"/>
      <c r="F111" s="408"/>
      <c r="G111" s="403"/>
      <c r="H111" s="96"/>
    </row>
    <row r="112" spans="1:8" ht="12.75">
      <c r="A112" s="403"/>
      <c r="B112" s="403"/>
      <c r="C112" s="411"/>
      <c r="D112" s="403"/>
      <c r="E112" s="408"/>
      <c r="F112" s="403"/>
      <c r="G112" s="403"/>
      <c r="H112" s="96"/>
    </row>
    <row r="113" spans="1:8" ht="12.75">
      <c r="A113" s="403"/>
      <c r="B113" s="403"/>
      <c r="C113" s="411"/>
      <c r="D113" s="403"/>
      <c r="E113" s="408"/>
      <c r="F113" s="408"/>
      <c r="G113" s="403"/>
      <c r="H113" s="96"/>
    </row>
    <row r="114" spans="1:8" ht="12.75">
      <c r="A114" s="403"/>
      <c r="B114" s="403"/>
      <c r="C114" s="411"/>
      <c r="D114" s="403"/>
      <c r="E114" s="408"/>
      <c r="F114" s="408"/>
      <c r="G114" s="403"/>
      <c r="H114" s="96"/>
    </row>
    <row r="115" spans="1:8" ht="12.75">
      <c r="A115" s="403"/>
      <c r="B115" s="403"/>
      <c r="C115" s="411"/>
      <c r="D115" s="403"/>
      <c r="E115" s="408"/>
      <c r="F115" s="408"/>
      <c r="G115" s="403"/>
      <c r="H115" s="96"/>
    </row>
    <row r="116" spans="1:8" ht="12.75">
      <c r="A116" s="403"/>
      <c r="B116" s="403"/>
      <c r="C116" s="411"/>
      <c r="D116" s="403"/>
      <c r="E116" s="408"/>
      <c r="F116" s="408"/>
      <c r="G116" s="403"/>
      <c r="H116" s="96"/>
    </row>
    <row r="117" spans="1:8" ht="12.75">
      <c r="A117" s="403"/>
      <c r="B117" s="403"/>
      <c r="C117" s="411"/>
      <c r="D117" s="403"/>
      <c r="E117" s="408"/>
      <c r="F117" s="408"/>
      <c r="G117" s="403"/>
      <c r="H117" s="96"/>
    </row>
    <row r="118" spans="1:8" ht="12.75">
      <c r="A118" s="403"/>
      <c r="B118" s="403"/>
      <c r="C118" s="411"/>
      <c r="D118" s="403"/>
      <c r="E118" s="408"/>
      <c r="F118" s="408"/>
      <c r="G118" s="403"/>
      <c r="H118" s="96"/>
    </row>
    <row r="119" spans="1:8" ht="12.75">
      <c r="A119" s="403"/>
      <c r="B119" s="403"/>
      <c r="C119" s="411"/>
      <c r="D119" s="403"/>
      <c r="E119" s="408"/>
      <c r="F119" s="408"/>
      <c r="G119" s="403"/>
      <c r="H119" s="96"/>
    </row>
    <row r="120" spans="1:8" ht="12.75">
      <c r="A120" s="403"/>
      <c r="B120" s="403"/>
      <c r="C120" s="411"/>
      <c r="D120" s="403"/>
      <c r="E120" s="408"/>
      <c r="F120" s="408"/>
      <c r="G120" s="403"/>
      <c r="H120" s="96"/>
    </row>
    <row r="121" spans="1:8" ht="12.75">
      <c r="A121" s="403"/>
      <c r="B121" s="403"/>
      <c r="C121" s="411"/>
      <c r="D121" s="403"/>
      <c r="E121" s="408"/>
      <c r="F121" s="408"/>
      <c r="G121" s="403"/>
      <c r="H121" s="96"/>
    </row>
    <row r="122" spans="1:8" ht="12.75">
      <c r="A122" s="403"/>
      <c r="B122" s="403"/>
      <c r="C122" s="411"/>
      <c r="D122" s="403"/>
      <c r="E122" s="408"/>
      <c r="F122" s="408"/>
      <c r="G122" s="403"/>
      <c r="H122" s="96"/>
    </row>
    <row r="123" spans="1:8" ht="12.75">
      <c r="A123" s="403"/>
      <c r="B123" s="403"/>
      <c r="C123" s="411"/>
      <c r="D123" s="403"/>
      <c r="E123" s="408"/>
      <c r="F123" s="408"/>
      <c r="G123" s="403"/>
      <c r="H123" s="96"/>
    </row>
    <row r="124" spans="1:8" ht="12.75">
      <c r="A124" s="403"/>
      <c r="B124" s="403"/>
      <c r="C124" s="411"/>
      <c r="D124" s="403"/>
      <c r="E124" s="408"/>
      <c r="F124" s="408"/>
      <c r="G124" s="403"/>
      <c r="H124" s="96"/>
    </row>
    <row r="125" spans="1:8" ht="12.75">
      <c r="A125" s="403"/>
      <c r="B125" s="403"/>
      <c r="C125" s="411"/>
      <c r="D125" s="403"/>
      <c r="E125" s="408"/>
      <c r="F125" s="408"/>
      <c r="G125" s="403"/>
      <c r="H125" s="96"/>
    </row>
    <row r="126" spans="1:8" ht="12.75">
      <c r="A126" s="403"/>
      <c r="B126" s="403"/>
      <c r="C126" s="411"/>
      <c r="D126" s="403"/>
      <c r="E126" s="408"/>
      <c r="F126" s="408"/>
      <c r="G126" s="403"/>
      <c r="H126" s="96"/>
    </row>
    <row r="127" spans="1:8" ht="12.75">
      <c r="A127" s="403"/>
      <c r="B127" s="403"/>
      <c r="C127" s="411"/>
      <c r="D127" s="403"/>
      <c r="E127" s="408"/>
      <c r="F127" s="408"/>
      <c r="G127" s="403"/>
      <c r="H127" s="96"/>
    </row>
    <row r="128" spans="1:8" ht="12.75">
      <c r="A128" s="403"/>
      <c r="B128" s="403"/>
      <c r="C128" s="411"/>
      <c r="D128" s="403"/>
      <c r="E128" s="408"/>
      <c r="F128" s="408"/>
      <c r="G128" s="403"/>
      <c r="H128" s="96"/>
    </row>
    <row r="129" spans="1:8" ht="12.75">
      <c r="A129" s="403"/>
      <c r="B129" s="403"/>
      <c r="C129" s="411"/>
      <c r="D129" s="403"/>
      <c r="E129" s="408"/>
      <c r="F129" s="408"/>
      <c r="G129" s="403"/>
      <c r="H129" s="96"/>
    </row>
    <row r="130" spans="1:8" ht="12.75">
      <c r="A130" s="403"/>
      <c r="B130" s="403"/>
      <c r="C130" s="411"/>
      <c r="D130" s="403"/>
      <c r="E130" s="408"/>
      <c r="F130" s="408"/>
      <c r="G130" s="403"/>
      <c r="H130" s="96"/>
    </row>
    <row r="131" spans="1:8" ht="12.75">
      <c r="A131" s="403"/>
      <c r="B131" s="403"/>
      <c r="C131" s="411"/>
      <c r="D131" s="403"/>
      <c r="E131" s="408"/>
      <c r="F131" s="408"/>
      <c r="G131" s="403"/>
      <c r="H131" s="96"/>
    </row>
    <row r="132" spans="1:8" ht="12.75">
      <c r="A132" s="403"/>
      <c r="B132" s="403"/>
      <c r="C132" s="411"/>
      <c r="D132" s="403"/>
      <c r="E132" s="408"/>
      <c r="F132" s="408"/>
      <c r="G132" s="403"/>
      <c r="H132" s="96"/>
    </row>
    <row r="133" spans="1:8" ht="12.75">
      <c r="A133" s="403"/>
      <c r="B133" s="403"/>
      <c r="C133" s="411"/>
      <c r="D133" s="403"/>
      <c r="E133" s="408"/>
      <c r="F133" s="408"/>
      <c r="G133" s="403"/>
      <c r="H133" s="96"/>
    </row>
    <row r="134" spans="1:8" ht="12.75">
      <c r="A134" s="403"/>
      <c r="B134" s="403"/>
      <c r="C134" s="411"/>
      <c r="D134" s="403"/>
      <c r="E134" s="408"/>
      <c r="F134" s="408"/>
      <c r="G134" s="403"/>
      <c r="H134" s="96"/>
    </row>
    <row r="135" spans="1:8" ht="12.75">
      <c r="A135" s="403"/>
      <c r="B135" s="403"/>
      <c r="C135" s="411"/>
      <c r="D135" s="403"/>
      <c r="E135" s="408"/>
      <c r="F135" s="408"/>
      <c r="G135" s="403"/>
      <c r="H135" s="96"/>
    </row>
    <row r="136" spans="1:8" ht="12.75">
      <c r="A136" s="403"/>
      <c r="B136" s="403"/>
      <c r="C136" s="411"/>
      <c r="D136" s="403"/>
      <c r="E136" s="408"/>
      <c r="F136" s="408"/>
      <c r="G136" s="403"/>
      <c r="H136" s="96"/>
    </row>
    <row r="137" spans="1:8" ht="12.75">
      <c r="A137" s="96"/>
      <c r="B137" s="96"/>
      <c r="C137" s="96"/>
      <c r="D137" s="96"/>
      <c r="E137" s="96"/>
      <c r="F137" s="96"/>
      <c r="G137" s="96"/>
      <c r="H137" s="96"/>
    </row>
    <row r="138" spans="1:8" ht="12.75">
      <c r="A138" s="32"/>
      <c r="B138" s="32"/>
      <c r="C138" s="32"/>
      <c r="D138" s="85"/>
      <c r="E138" s="96"/>
      <c r="F138" s="96"/>
      <c r="G138" s="96"/>
      <c r="H138" s="96"/>
    </row>
    <row r="139" spans="1:8" ht="12.75">
      <c r="A139" s="96"/>
      <c r="B139" s="96"/>
      <c r="C139" s="96"/>
      <c r="D139" s="96"/>
      <c r="E139" s="96"/>
      <c r="F139" s="96"/>
      <c r="G139" s="96"/>
      <c r="H139" s="96"/>
    </row>
    <row r="140" spans="1:8" ht="15.75">
      <c r="A140" s="399"/>
      <c r="B140" s="96"/>
      <c r="C140" s="96"/>
      <c r="D140" s="96"/>
      <c r="E140" s="96"/>
      <c r="F140" s="96"/>
      <c r="G140" s="96"/>
      <c r="H140" s="96"/>
    </row>
    <row r="141" spans="1:8" ht="12.75">
      <c r="A141" s="96"/>
      <c r="B141" s="96"/>
      <c r="C141" s="96"/>
      <c r="D141" s="96"/>
      <c r="E141" s="96"/>
      <c r="F141" s="96"/>
      <c r="G141" s="85"/>
      <c r="H141" s="96"/>
    </row>
    <row r="142" spans="1:8" ht="15">
      <c r="A142" s="400"/>
      <c r="B142" s="179"/>
      <c r="C142" s="179"/>
      <c r="D142" s="179"/>
      <c r="E142" s="401"/>
      <c r="F142" s="402"/>
      <c r="G142" s="402"/>
      <c r="H142" s="96"/>
    </row>
    <row r="143" spans="1:8" ht="15.75">
      <c r="A143" s="403"/>
      <c r="B143" s="403"/>
      <c r="C143" s="403"/>
      <c r="D143" s="403"/>
      <c r="E143" s="404"/>
      <c r="F143" s="405"/>
      <c r="G143" s="406"/>
      <c r="H143" s="96"/>
    </row>
    <row r="144" spans="1:8" ht="15.75">
      <c r="A144" s="403"/>
      <c r="B144" s="407"/>
      <c r="C144" s="403"/>
      <c r="D144" s="403"/>
      <c r="E144" s="408"/>
      <c r="F144" s="409"/>
      <c r="G144" s="410"/>
      <c r="H144" s="96"/>
    </row>
    <row r="145" spans="1:8" ht="12.75">
      <c r="A145" s="403"/>
      <c r="B145" s="407"/>
      <c r="C145" s="403"/>
      <c r="D145" s="403"/>
      <c r="E145" s="408"/>
      <c r="F145" s="403"/>
      <c r="G145" s="403"/>
      <c r="H145" s="96"/>
    </row>
    <row r="146" spans="1:8" ht="12.75">
      <c r="A146" s="403"/>
      <c r="B146" s="407"/>
      <c r="C146" s="403"/>
      <c r="D146" s="403"/>
      <c r="E146" s="408"/>
      <c r="F146" s="408"/>
      <c r="G146" s="403"/>
      <c r="H146" s="96"/>
    </row>
    <row r="147" spans="1:8" ht="12.75">
      <c r="A147" s="403"/>
      <c r="B147" s="403"/>
      <c r="C147" s="411"/>
      <c r="D147" s="403"/>
      <c r="E147" s="408"/>
      <c r="F147" s="403"/>
      <c r="G147" s="403"/>
      <c r="H147" s="96"/>
    </row>
    <row r="148" spans="1:8" ht="12.75">
      <c r="A148" s="403"/>
      <c r="B148" s="403"/>
      <c r="C148" s="411"/>
      <c r="D148" s="403"/>
      <c r="E148" s="408"/>
      <c r="F148" s="408"/>
      <c r="G148" s="403"/>
      <c r="H148" s="96"/>
    </row>
    <row r="149" spans="1:8" ht="12.75">
      <c r="A149" s="403"/>
      <c r="B149" s="403"/>
      <c r="C149" s="411"/>
      <c r="D149" s="403"/>
      <c r="E149" s="408"/>
      <c r="F149" s="408"/>
      <c r="G149" s="403"/>
      <c r="H149" s="96"/>
    </row>
    <row r="150" spans="1:8" ht="12.75">
      <c r="A150" s="403"/>
      <c r="B150" s="403"/>
      <c r="C150" s="411"/>
      <c r="D150" s="403"/>
      <c r="E150" s="408"/>
      <c r="F150" s="408"/>
      <c r="G150" s="403"/>
      <c r="H150" s="96"/>
    </row>
    <row r="151" spans="1:8" ht="12.75">
      <c r="A151" s="403"/>
      <c r="B151" s="403"/>
      <c r="C151" s="411"/>
      <c r="D151" s="403"/>
      <c r="E151" s="408"/>
      <c r="F151" s="408"/>
      <c r="G151" s="403"/>
      <c r="H151" s="96"/>
    </row>
    <row r="152" spans="1:8" ht="12.75">
      <c r="A152" s="403"/>
      <c r="B152" s="403"/>
      <c r="C152" s="411"/>
      <c r="D152" s="403"/>
      <c r="E152" s="408"/>
      <c r="F152" s="408"/>
      <c r="G152" s="403"/>
      <c r="H152" s="96"/>
    </row>
    <row r="153" spans="1:8" ht="12.75">
      <c r="A153" s="403"/>
      <c r="B153" s="403"/>
      <c r="C153" s="411"/>
      <c r="D153" s="403"/>
      <c r="E153" s="408"/>
      <c r="F153" s="408"/>
      <c r="G153" s="403"/>
      <c r="H153" s="96"/>
    </row>
    <row r="154" spans="1:8" ht="12.75">
      <c r="A154" s="403"/>
      <c r="B154" s="96"/>
      <c r="C154" s="411"/>
      <c r="D154" s="96"/>
      <c r="E154" s="408"/>
      <c r="F154" s="408"/>
      <c r="G154" s="403"/>
      <c r="H154" s="96"/>
    </row>
    <row r="155" spans="1:8" ht="12.75">
      <c r="A155" s="403"/>
      <c r="B155" s="96"/>
      <c r="C155" s="411"/>
      <c r="D155" s="96"/>
      <c r="E155" s="408"/>
      <c r="F155" s="408"/>
      <c r="G155" s="403"/>
      <c r="H155" s="96"/>
    </row>
    <row r="156" spans="1:8" ht="12.75">
      <c r="A156" s="403"/>
      <c r="B156" s="96"/>
      <c r="C156" s="411"/>
      <c r="D156" s="96"/>
      <c r="E156" s="408"/>
      <c r="F156" s="408"/>
      <c r="G156" s="403"/>
      <c r="H156" s="96"/>
    </row>
    <row r="157" spans="1:8" ht="12.75">
      <c r="A157" s="403"/>
      <c r="B157" s="96"/>
      <c r="C157" s="411"/>
      <c r="D157" s="96"/>
      <c r="E157" s="408"/>
      <c r="F157" s="408"/>
      <c r="G157" s="403"/>
      <c r="H157" s="96"/>
    </row>
    <row r="158" spans="1:8" ht="12.75">
      <c r="A158" s="403"/>
      <c r="B158" s="96"/>
      <c r="C158" s="411"/>
      <c r="D158" s="96"/>
      <c r="E158" s="408"/>
      <c r="F158" s="408"/>
      <c r="G158" s="403"/>
      <c r="H158" s="96"/>
    </row>
    <row r="159" spans="1:8" ht="12.75">
      <c r="A159" s="403"/>
      <c r="B159" s="96"/>
      <c r="C159" s="411"/>
      <c r="D159" s="96"/>
      <c r="E159" s="408"/>
      <c r="F159" s="408"/>
      <c r="G159" s="403"/>
      <c r="H159" s="96"/>
    </row>
    <row r="160" spans="1:8" ht="12.75">
      <c r="A160" s="403"/>
      <c r="B160" s="96"/>
      <c r="C160" s="411"/>
      <c r="D160" s="96"/>
      <c r="E160" s="408"/>
      <c r="F160" s="408"/>
      <c r="G160" s="403"/>
      <c r="H160" s="96"/>
    </row>
    <row r="161" spans="1:8" ht="12.75">
      <c r="A161" s="403"/>
      <c r="B161" s="96"/>
      <c r="C161" s="411"/>
      <c r="D161" s="96"/>
      <c r="E161" s="408"/>
      <c r="F161" s="408"/>
      <c r="G161" s="403"/>
      <c r="H161" s="96"/>
    </row>
    <row r="162" spans="1:8" ht="12.75">
      <c r="A162" s="403"/>
      <c r="B162" s="96"/>
      <c r="C162" s="411"/>
      <c r="D162" s="96"/>
      <c r="E162" s="408"/>
      <c r="F162" s="408"/>
      <c r="G162" s="403"/>
      <c r="H162" s="96"/>
    </row>
    <row r="163" spans="1:8" ht="12.75">
      <c r="A163" s="403"/>
      <c r="B163" s="96"/>
      <c r="C163" s="411"/>
      <c r="D163" s="96"/>
      <c r="E163" s="408"/>
      <c r="F163" s="408"/>
      <c r="G163" s="403"/>
      <c r="H163" s="96"/>
    </row>
    <row r="164" spans="1:8" ht="12.75">
      <c r="A164" s="403"/>
      <c r="B164" s="96"/>
      <c r="C164" s="411"/>
      <c r="D164" s="96"/>
      <c r="E164" s="408"/>
      <c r="F164" s="408"/>
      <c r="G164" s="403"/>
      <c r="H164" s="96"/>
    </row>
    <row r="165" spans="1:8" ht="12.75">
      <c r="A165" s="403"/>
      <c r="B165" s="96"/>
      <c r="C165" s="411"/>
      <c r="D165" s="96"/>
      <c r="E165" s="408"/>
      <c r="F165" s="408"/>
      <c r="G165" s="403"/>
      <c r="H165" s="96"/>
    </row>
    <row r="166" spans="1:8" ht="12.75">
      <c r="A166" s="403"/>
      <c r="B166" s="96"/>
      <c r="C166" s="411"/>
      <c r="D166" s="96"/>
      <c r="E166" s="408"/>
      <c r="F166" s="408"/>
      <c r="G166" s="403"/>
      <c r="H166" s="96"/>
    </row>
    <row r="167" spans="1:8" ht="12.75">
      <c r="A167" s="403"/>
      <c r="B167" s="96"/>
      <c r="C167" s="411"/>
      <c r="D167" s="96"/>
      <c r="E167" s="408"/>
      <c r="F167" s="408"/>
      <c r="G167" s="403"/>
      <c r="H167" s="96"/>
    </row>
    <row r="168" spans="1:8" ht="12.75">
      <c r="A168" s="403"/>
      <c r="B168" s="96"/>
      <c r="C168" s="411"/>
      <c r="D168" s="96"/>
      <c r="E168" s="408"/>
      <c r="F168" s="408"/>
      <c r="G168" s="403"/>
      <c r="H168" s="96"/>
    </row>
    <row r="169" spans="1:8" ht="12.75">
      <c r="A169" s="403"/>
      <c r="B169" s="96"/>
      <c r="C169" s="411"/>
      <c r="D169" s="96"/>
      <c r="E169" s="408"/>
      <c r="F169" s="408"/>
      <c r="G169" s="403"/>
      <c r="H169" s="96"/>
    </row>
    <row r="170" spans="1:8" ht="12.75">
      <c r="A170" s="403"/>
      <c r="B170" s="96"/>
      <c r="C170" s="411"/>
      <c r="D170" s="96"/>
      <c r="E170" s="408"/>
      <c r="F170" s="408"/>
      <c r="G170" s="403"/>
      <c r="H170" s="96"/>
    </row>
    <row r="171" spans="1:8" ht="12.75">
      <c r="A171" s="403"/>
      <c r="B171" s="96"/>
      <c r="C171" s="411"/>
      <c r="D171" s="96"/>
      <c r="E171" s="408"/>
      <c r="F171" s="408"/>
      <c r="G171" s="403"/>
      <c r="H171" s="96"/>
    </row>
    <row r="172" spans="1:8" ht="12.75">
      <c r="A172" s="403"/>
      <c r="B172" s="96"/>
      <c r="C172" s="411"/>
      <c r="D172" s="96"/>
      <c r="E172" s="408"/>
      <c r="F172" s="408"/>
      <c r="G172" s="403"/>
      <c r="H172" s="96"/>
    </row>
    <row r="173" spans="1:8" ht="12.75">
      <c r="A173" s="403"/>
      <c r="B173" s="96"/>
      <c r="C173" s="411"/>
      <c r="D173" s="96"/>
      <c r="E173" s="408"/>
      <c r="F173" s="408"/>
      <c r="G173" s="403"/>
      <c r="H173" s="96"/>
    </row>
    <row r="174" spans="1:8" ht="12.75">
      <c r="A174" s="403"/>
      <c r="B174" s="96"/>
      <c r="C174" s="411"/>
      <c r="D174" s="96"/>
      <c r="E174" s="408"/>
      <c r="F174" s="408"/>
      <c r="G174" s="403"/>
      <c r="H174" s="96"/>
    </row>
    <row r="175" spans="1:8" ht="12.75">
      <c r="A175" s="403"/>
      <c r="B175" s="96"/>
      <c r="C175" s="411"/>
      <c r="D175" s="96"/>
      <c r="E175" s="408"/>
      <c r="F175" s="408"/>
      <c r="G175" s="403"/>
      <c r="H175" s="96"/>
    </row>
    <row r="176" spans="1:8" ht="12.75">
      <c r="A176" s="403"/>
      <c r="B176" s="96"/>
      <c r="C176" s="411"/>
      <c r="D176" s="96"/>
      <c r="E176" s="408"/>
      <c r="F176" s="408"/>
      <c r="G176" s="403"/>
      <c r="H176" s="96"/>
    </row>
    <row r="177" spans="1:8" ht="12.75">
      <c r="A177" s="403"/>
      <c r="B177" s="96"/>
      <c r="C177" s="411"/>
      <c r="D177" s="96"/>
      <c r="E177" s="408"/>
      <c r="F177" s="408"/>
      <c r="G177" s="403"/>
      <c r="H177" s="96"/>
    </row>
    <row r="178" spans="1:8" ht="12.75">
      <c r="A178" s="403"/>
      <c r="B178" s="96"/>
      <c r="C178" s="411"/>
      <c r="D178" s="96"/>
      <c r="E178" s="408"/>
      <c r="F178" s="408"/>
      <c r="G178" s="403"/>
      <c r="H178" s="96"/>
    </row>
    <row r="179" spans="1:8" ht="12.75">
      <c r="A179" s="403"/>
      <c r="B179" s="96"/>
      <c r="C179" s="411"/>
      <c r="D179" s="96"/>
      <c r="E179" s="408"/>
      <c r="F179" s="408"/>
      <c r="G179" s="403"/>
      <c r="H179" s="96"/>
    </row>
    <row r="180" spans="1:8" ht="12.75">
      <c r="A180" s="403"/>
      <c r="B180" s="96"/>
      <c r="C180" s="411"/>
      <c r="D180" s="96"/>
      <c r="E180" s="408"/>
      <c r="F180" s="408"/>
      <c r="G180" s="403"/>
      <c r="H180" s="96"/>
    </row>
    <row r="181" spans="1:8" ht="12.75">
      <c r="A181" s="403"/>
      <c r="B181" s="96"/>
      <c r="C181" s="411"/>
      <c r="D181" s="96"/>
      <c r="E181" s="408"/>
      <c r="F181" s="408"/>
      <c r="G181" s="403"/>
      <c r="H181" s="96"/>
    </row>
    <row r="182" spans="1:8" ht="12.75">
      <c r="A182" s="403"/>
      <c r="B182" s="96"/>
      <c r="C182" s="411"/>
      <c r="D182" s="96"/>
      <c r="E182" s="408"/>
      <c r="F182" s="408"/>
      <c r="G182" s="403"/>
      <c r="H182" s="96"/>
    </row>
    <row r="183" spans="1:8" ht="12.75">
      <c r="A183" s="403"/>
      <c r="B183" s="96"/>
      <c r="C183" s="411"/>
      <c r="D183" s="96"/>
      <c r="E183" s="408"/>
      <c r="F183" s="408"/>
      <c r="G183" s="403"/>
      <c r="H183" s="96"/>
    </row>
    <row r="184" spans="1:8" ht="12.75">
      <c r="A184" s="403"/>
      <c r="B184" s="96"/>
      <c r="C184" s="411"/>
      <c r="D184" s="96"/>
      <c r="E184" s="408"/>
      <c r="F184" s="408"/>
      <c r="G184" s="403"/>
      <c r="H184" s="96"/>
    </row>
    <row r="185" spans="1:8" ht="12.75">
      <c r="A185" s="403"/>
      <c r="B185" s="96"/>
      <c r="C185" s="411"/>
      <c r="D185" s="96"/>
      <c r="E185" s="408"/>
      <c r="F185" s="408"/>
      <c r="G185" s="403"/>
      <c r="H185" s="96"/>
    </row>
    <row r="186" spans="1:8" ht="12.75">
      <c r="A186" s="403"/>
      <c r="B186" s="96"/>
      <c r="C186" s="411"/>
      <c r="D186" s="96"/>
      <c r="E186" s="408"/>
      <c r="F186" s="408"/>
      <c r="G186" s="403"/>
      <c r="H186" s="96"/>
    </row>
    <row r="187" spans="1:8" ht="12.75">
      <c r="A187" s="403"/>
      <c r="B187" s="96"/>
      <c r="C187" s="411"/>
      <c r="D187" s="96"/>
      <c r="E187" s="408"/>
      <c r="F187" s="408"/>
      <c r="G187" s="403"/>
      <c r="H187" s="96"/>
    </row>
    <row r="188" spans="1:8" ht="12.75">
      <c r="A188" s="403"/>
      <c r="B188" s="96"/>
      <c r="C188" s="411"/>
      <c r="D188" s="96"/>
      <c r="E188" s="408"/>
      <c r="F188" s="408"/>
      <c r="G188" s="403"/>
      <c r="H188" s="96"/>
    </row>
    <row r="189" spans="1:8" ht="12.75">
      <c r="A189" s="403"/>
      <c r="B189" s="96"/>
      <c r="C189" s="411"/>
      <c r="D189" s="96"/>
      <c r="E189" s="408"/>
      <c r="F189" s="408"/>
      <c r="G189" s="403"/>
      <c r="H189" s="96"/>
    </row>
    <row r="190" spans="1:8" ht="12.75">
      <c r="A190" s="403"/>
      <c r="B190" s="96"/>
      <c r="C190" s="411"/>
      <c r="D190" s="96"/>
      <c r="E190" s="408"/>
      <c r="F190" s="408"/>
      <c r="G190" s="403"/>
      <c r="H190" s="96"/>
    </row>
    <row r="191" spans="1:8" ht="12.75">
      <c r="A191" s="403"/>
      <c r="B191" s="96"/>
      <c r="C191" s="411"/>
      <c r="D191" s="96"/>
      <c r="E191" s="408"/>
      <c r="F191" s="408"/>
      <c r="G191" s="403"/>
      <c r="H191" s="96"/>
    </row>
    <row r="192" spans="1:8" ht="12.75">
      <c r="A192" s="403"/>
      <c r="B192" s="96"/>
      <c r="C192" s="411"/>
      <c r="D192" s="96"/>
      <c r="E192" s="408"/>
      <c r="F192" s="408"/>
      <c r="G192" s="403"/>
      <c r="H192" s="96"/>
    </row>
    <row r="193" spans="1:8" ht="12.75">
      <c r="A193" s="403"/>
      <c r="B193" s="96"/>
      <c r="C193" s="411"/>
      <c r="D193" s="96"/>
      <c r="E193" s="408"/>
      <c r="F193" s="408"/>
      <c r="G193" s="403"/>
      <c r="H193" s="96"/>
    </row>
    <row r="194" spans="1:8" ht="12.75">
      <c r="A194" s="403"/>
      <c r="B194" s="96"/>
      <c r="C194" s="411"/>
      <c r="D194" s="96"/>
      <c r="E194" s="408"/>
      <c r="F194" s="408"/>
      <c r="G194" s="403"/>
      <c r="H194" s="96"/>
    </row>
    <row r="195" spans="1:8" ht="12.75">
      <c r="A195" s="403"/>
      <c r="B195" s="96"/>
      <c r="C195" s="411"/>
      <c r="D195" s="96"/>
      <c r="E195" s="408"/>
      <c r="F195" s="408"/>
      <c r="G195" s="403"/>
      <c r="H195" s="96"/>
    </row>
    <row r="196" spans="1:8" ht="12.75">
      <c r="A196" s="403"/>
      <c r="B196" s="96"/>
      <c r="C196" s="411"/>
      <c r="D196" s="96"/>
      <c r="E196" s="408"/>
      <c r="F196" s="408"/>
      <c r="G196" s="403"/>
      <c r="H196" s="96"/>
    </row>
    <row r="197" spans="1:8" ht="12.75">
      <c r="A197" s="403"/>
      <c r="B197" s="96"/>
      <c r="C197" s="411"/>
      <c r="D197" s="96"/>
      <c r="E197" s="408"/>
      <c r="F197" s="408"/>
      <c r="G197" s="403"/>
      <c r="H197" s="96"/>
    </row>
    <row r="198" spans="1:8" ht="12.75">
      <c r="A198" s="403"/>
      <c r="B198" s="96"/>
      <c r="C198" s="411"/>
      <c r="D198" s="96"/>
      <c r="E198" s="408"/>
      <c r="F198" s="408"/>
      <c r="G198" s="403"/>
      <c r="H198" s="96"/>
    </row>
    <row r="199" spans="1:8" ht="12.75">
      <c r="A199" s="403"/>
      <c r="B199" s="96"/>
      <c r="C199" s="411"/>
      <c r="D199" s="96"/>
      <c r="E199" s="408"/>
      <c r="F199" s="408"/>
      <c r="G199" s="403"/>
      <c r="H199" s="96"/>
    </row>
    <row r="200" spans="1:8" ht="12.75">
      <c r="A200" s="403"/>
      <c r="B200" s="96"/>
      <c r="C200" s="411"/>
      <c r="D200" s="96"/>
      <c r="E200" s="408"/>
      <c r="F200" s="408"/>
      <c r="G200" s="403"/>
      <c r="H200" s="96"/>
    </row>
    <row r="201" spans="1:8" ht="12.75">
      <c r="A201" s="403"/>
      <c r="B201" s="96"/>
      <c r="C201" s="411"/>
      <c r="D201" s="96"/>
      <c r="E201" s="408"/>
      <c r="F201" s="408"/>
      <c r="G201" s="403"/>
      <c r="H201" s="96"/>
    </row>
    <row r="202" spans="1:8" ht="12.75">
      <c r="A202" s="403"/>
      <c r="B202" s="96"/>
      <c r="C202" s="411"/>
      <c r="D202" s="96"/>
      <c r="E202" s="408"/>
      <c r="F202" s="408"/>
      <c r="G202" s="403"/>
      <c r="H202" s="96"/>
    </row>
    <row r="203" spans="1:8" ht="12.75">
      <c r="A203" s="403"/>
      <c r="B203" s="96"/>
      <c r="C203" s="411"/>
      <c r="D203" s="96"/>
      <c r="E203" s="408"/>
      <c r="F203" s="408"/>
      <c r="G203" s="403"/>
      <c r="H203" s="96"/>
    </row>
    <row r="204" spans="1:8" ht="12.75">
      <c r="A204" s="403"/>
      <c r="B204" s="96"/>
      <c r="C204" s="411"/>
      <c r="D204" s="96"/>
      <c r="E204" s="408"/>
      <c r="F204" s="408"/>
      <c r="G204" s="403"/>
      <c r="H204" s="96"/>
    </row>
    <row r="205" spans="1:8" ht="12.75">
      <c r="A205" s="403"/>
      <c r="B205" s="96"/>
      <c r="C205" s="411"/>
      <c r="D205" s="96"/>
      <c r="E205" s="408"/>
      <c r="F205" s="408"/>
      <c r="G205" s="403"/>
      <c r="H205" s="96"/>
    </row>
    <row r="206" spans="1:8" ht="12.75">
      <c r="A206" s="403"/>
      <c r="B206" s="96"/>
      <c r="C206" s="411"/>
      <c r="D206" s="96"/>
      <c r="E206" s="408"/>
      <c r="F206" s="408"/>
      <c r="G206" s="403"/>
      <c r="H206" s="96"/>
    </row>
    <row r="207" spans="1:8" ht="12.75">
      <c r="A207" s="403"/>
      <c r="B207" s="96"/>
      <c r="C207" s="411"/>
      <c r="D207" s="96"/>
      <c r="E207" s="408"/>
      <c r="F207" s="408"/>
      <c r="G207" s="403"/>
      <c r="H207" s="96"/>
    </row>
    <row r="208" spans="1:8" ht="12.75">
      <c r="A208" s="403"/>
      <c r="B208" s="96"/>
      <c r="C208" s="411"/>
      <c r="D208" s="96"/>
      <c r="E208" s="408"/>
      <c r="F208" s="408"/>
      <c r="G208" s="403"/>
      <c r="H208" s="96"/>
    </row>
    <row r="209" spans="1:8" ht="12.75">
      <c r="A209" s="403"/>
      <c r="B209" s="96"/>
      <c r="C209" s="411"/>
      <c r="D209" s="96"/>
      <c r="E209" s="408"/>
      <c r="F209" s="408"/>
      <c r="G209" s="403"/>
      <c r="H209" s="96"/>
    </row>
    <row r="210" spans="1:8" ht="12.75">
      <c r="A210" s="403"/>
      <c r="B210" s="96"/>
      <c r="C210" s="411"/>
      <c r="D210" s="96"/>
      <c r="E210" s="408"/>
      <c r="F210" s="408"/>
      <c r="G210" s="403"/>
      <c r="H210" s="96"/>
    </row>
    <row r="211" spans="1:8" ht="12.75">
      <c r="A211" s="403"/>
      <c r="B211" s="96"/>
      <c r="C211" s="411"/>
      <c r="D211" s="96"/>
      <c r="E211" s="408"/>
      <c r="F211" s="408"/>
      <c r="G211" s="403"/>
      <c r="H211" s="96"/>
    </row>
    <row r="212" spans="1:8" ht="12.75">
      <c r="A212" s="403"/>
      <c r="B212" s="96"/>
      <c r="C212" s="411"/>
      <c r="D212" s="96"/>
      <c r="E212" s="408"/>
      <c r="F212" s="408"/>
      <c r="G212" s="403"/>
      <c r="H212" s="96"/>
    </row>
    <row r="213" spans="1:8" ht="12.75">
      <c r="A213" s="403"/>
      <c r="B213" s="96"/>
      <c r="C213" s="411"/>
      <c r="D213" s="96"/>
      <c r="E213" s="408"/>
      <c r="F213" s="408"/>
      <c r="G213" s="403"/>
      <c r="H213" s="96"/>
    </row>
    <row r="214" spans="1:8" ht="12.75">
      <c r="A214" s="403"/>
      <c r="B214" s="96"/>
      <c r="C214" s="411"/>
      <c r="D214" s="96"/>
      <c r="E214" s="408"/>
      <c r="F214" s="408"/>
      <c r="G214" s="403"/>
      <c r="H214" s="96"/>
    </row>
    <row r="215" spans="1:8" ht="12.75">
      <c r="A215" s="403"/>
      <c r="B215" s="96"/>
      <c r="C215" s="411"/>
      <c r="D215" s="96"/>
      <c r="E215" s="408"/>
      <c r="F215" s="408"/>
      <c r="G215" s="403"/>
      <c r="H215" s="96"/>
    </row>
    <row r="216" spans="1:8" ht="12.75">
      <c r="A216" s="403"/>
      <c r="B216" s="96"/>
      <c r="C216" s="411"/>
      <c r="D216" s="96"/>
      <c r="E216" s="408"/>
      <c r="F216" s="408"/>
      <c r="G216" s="403"/>
      <c r="H216" s="96"/>
    </row>
    <row r="217" spans="1:8" ht="12.75">
      <c r="A217" s="403"/>
      <c r="B217" s="96"/>
      <c r="C217" s="411"/>
      <c r="D217" s="96"/>
      <c r="E217" s="408"/>
      <c r="F217" s="408"/>
      <c r="G217" s="403"/>
      <c r="H217" s="96"/>
    </row>
    <row r="218" spans="1:8" ht="12.75">
      <c r="A218" s="403"/>
      <c r="B218" s="96"/>
      <c r="C218" s="411"/>
      <c r="D218" s="96"/>
      <c r="E218" s="408"/>
      <c r="F218" s="408"/>
      <c r="G218" s="403"/>
      <c r="H218" s="96"/>
    </row>
    <row r="219" spans="1:8" ht="12.75">
      <c r="A219" s="403"/>
      <c r="B219" s="96"/>
      <c r="C219" s="411"/>
      <c r="D219" s="96"/>
      <c r="E219" s="408"/>
      <c r="F219" s="408"/>
      <c r="G219" s="403"/>
      <c r="H219" s="96"/>
    </row>
    <row r="220" spans="1:8" ht="12.75">
      <c r="A220" s="403"/>
      <c r="B220" s="96"/>
      <c r="C220" s="411"/>
      <c r="D220" s="96"/>
      <c r="E220" s="408"/>
      <c r="F220" s="408"/>
      <c r="G220" s="403"/>
      <c r="H220" s="96"/>
    </row>
    <row r="221" spans="1:8" ht="12.75">
      <c r="A221" s="403"/>
      <c r="B221" s="96"/>
      <c r="C221" s="411"/>
      <c r="D221" s="96"/>
      <c r="E221" s="408"/>
      <c r="F221" s="408"/>
      <c r="G221" s="408"/>
      <c r="H221" s="96"/>
    </row>
    <row r="222" spans="1:8" ht="12.75">
      <c r="A222" s="96"/>
      <c r="B222" s="96"/>
      <c r="C222" s="96"/>
      <c r="D222" s="96"/>
      <c r="E222" s="96"/>
      <c r="F222" s="96"/>
      <c r="G222" s="96"/>
      <c r="H222" s="96"/>
    </row>
    <row r="223" spans="1:8" ht="12.75">
      <c r="A223" s="96"/>
      <c r="B223" s="96"/>
      <c r="C223" s="96"/>
      <c r="D223" s="96"/>
      <c r="E223" s="96"/>
      <c r="F223" s="96"/>
      <c r="G223" s="96"/>
      <c r="H223" s="96"/>
    </row>
    <row r="224" spans="1:8" ht="12.75">
      <c r="A224" s="96"/>
      <c r="B224" s="96"/>
      <c r="C224" s="96"/>
      <c r="D224" s="96"/>
      <c r="E224" s="96"/>
      <c r="F224" s="96"/>
      <c r="G224" s="96"/>
      <c r="H224" s="96"/>
    </row>
    <row r="225" spans="1:8" ht="12.75">
      <c r="A225" s="96"/>
      <c r="B225" s="96"/>
      <c r="C225" s="96"/>
      <c r="D225" s="96"/>
      <c r="E225" s="96"/>
      <c r="F225" s="96"/>
      <c r="G225" s="96"/>
      <c r="H225" s="96"/>
    </row>
    <row r="226" spans="1:8" ht="12.75">
      <c r="A226" s="96"/>
      <c r="B226" s="96"/>
      <c r="C226" s="96"/>
      <c r="D226" s="96"/>
      <c r="E226" s="96"/>
      <c r="F226" s="96"/>
      <c r="G226" s="96"/>
      <c r="H226" s="96"/>
    </row>
    <row r="227" spans="1:8" ht="12.75">
      <c r="A227" s="96"/>
      <c r="B227" s="96"/>
      <c r="C227" s="96"/>
      <c r="D227" s="96"/>
      <c r="E227" s="96"/>
      <c r="F227" s="96"/>
      <c r="G227" s="96"/>
      <c r="H227" s="96"/>
    </row>
    <row r="228" spans="1:8" ht="12.75">
      <c r="A228" s="96"/>
      <c r="B228" s="96"/>
      <c r="C228" s="96"/>
      <c r="D228" s="96"/>
      <c r="E228" s="96"/>
      <c r="F228" s="96"/>
      <c r="G228" s="96"/>
      <c r="H228" s="96"/>
    </row>
    <row r="229" spans="1:8" ht="12.75">
      <c r="A229" s="96"/>
      <c r="B229" s="96"/>
      <c r="C229" s="96"/>
      <c r="D229" s="96"/>
      <c r="E229" s="96"/>
      <c r="F229" s="96"/>
      <c r="G229" s="96"/>
      <c r="H229" s="96"/>
    </row>
    <row r="230" spans="1:8" ht="12.75">
      <c r="A230" s="96"/>
      <c r="B230" s="96"/>
      <c r="C230" s="96"/>
      <c r="D230" s="96"/>
      <c r="E230" s="96"/>
      <c r="F230" s="96"/>
      <c r="G230" s="96"/>
      <c r="H230" s="96"/>
    </row>
    <row r="231" spans="1:8" ht="12.75">
      <c r="A231" s="96"/>
      <c r="B231" s="96"/>
      <c r="C231" s="96"/>
      <c r="D231" s="96"/>
      <c r="E231" s="96"/>
      <c r="F231" s="96"/>
      <c r="G231" s="96"/>
      <c r="H231" s="96"/>
    </row>
    <row r="232" spans="1:8" ht="12.75">
      <c r="A232" s="96"/>
      <c r="B232" s="96"/>
      <c r="C232" s="96"/>
      <c r="D232" s="96"/>
      <c r="E232" s="96"/>
      <c r="F232" s="96"/>
      <c r="G232" s="96"/>
      <c r="H232" s="96"/>
    </row>
    <row r="233" spans="1:8" ht="12.75">
      <c r="A233" s="96"/>
      <c r="B233" s="96"/>
      <c r="C233" s="96"/>
      <c r="D233" s="96"/>
      <c r="E233" s="96"/>
      <c r="F233" s="96"/>
      <c r="G233" s="96"/>
      <c r="H233" s="96"/>
    </row>
    <row r="234" spans="1:8" ht="12.75">
      <c r="A234" s="96"/>
      <c r="B234" s="96"/>
      <c r="C234" s="96"/>
      <c r="D234" s="96"/>
      <c r="E234" s="96"/>
      <c r="F234" s="96"/>
      <c r="G234" s="96"/>
      <c r="H234" s="96"/>
    </row>
    <row r="235" spans="1:8" ht="12.75">
      <c r="A235" s="96"/>
      <c r="B235" s="96"/>
      <c r="C235" s="96"/>
      <c r="D235" s="96"/>
      <c r="E235" s="96"/>
      <c r="F235" s="96"/>
      <c r="G235" s="96"/>
      <c r="H235" s="96"/>
    </row>
    <row r="236" spans="1:8" ht="12.75">
      <c r="A236" s="96"/>
      <c r="B236" s="96"/>
      <c r="C236" s="96"/>
      <c r="D236" s="96"/>
      <c r="E236" s="96"/>
      <c r="F236" s="96"/>
      <c r="G236" s="96"/>
      <c r="H236" s="96"/>
    </row>
    <row r="237" spans="1:8" ht="12.75">
      <c r="A237" s="96"/>
      <c r="B237" s="96"/>
      <c r="C237" s="96"/>
      <c r="D237" s="96"/>
      <c r="E237" s="96"/>
      <c r="F237" s="96"/>
      <c r="G237" s="96"/>
      <c r="H237" s="96"/>
    </row>
    <row r="238" spans="1:8" ht="12.75">
      <c r="A238" s="96"/>
      <c r="B238" s="96"/>
      <c r="C238" s="96"/>
      <c r="D238" s="96"/>
      <c r="E238" s="96"/>
      <c r="F238" s="96"/>
      <c r="G238" s="96"/>
      <c r="H238" s="96"/>
    </row>
    <row r="239" spans="1:8" ht="12.75">
      <c r="A239" s="96"/>
      <c r="B239" s="96"/>
      <c r="C239" s="96"/>
      <c r="D239" s="96"/>
      <c r="E239" s="96"/>
      <c r="F239" s="96"/>
      <c r="G239" s="96"/>
      <c r="H239" s="96"/>
    </row>
    <row r="240" spans="1:8" ht="12.75">
      <c r="A240" s="96"/>
      <c r="B240" s="96"/>
      <c r="C240" s="96"/>
      <c r="D240" s="96"/>
      <c r="E240" s="96"/>
      <c r="F240" s="96"/>
      <c r="G240" s="96"/>
      <c r="H240" s="96"/>
    </row>
    <row r="241" spans="1:8" ht="12.75">
      <c r="A241" s="96"/>
      <c r="B241" s="96"/>
      <c r="C241" s="96"/>
      <c r="D241" s="96"/>
      <c r="E241" s="96"/>
      <c r="F241" s="96"/>
      <c r="G241" s="96"/>
      <c r="H241" s="96"/>
    </row>
    <row r="242" spans="1:8" ht="12.75">
      <c r="A242" s="96"/>
      <c r="B242" s="96"/>
      <c r="C242" s="96"/>
      <c r="D242" s="96"/>
      <c r="E242" s="96"/>
      <c r="F242" s="96"/>
      <c r="G242" s="96"/>
      <c r="H242" s="96"/>
    </row>
    <row r="243" spans="1:8" ht="12.75">
      <c r="A243" s="96"/>
      <c r="B243" s="96"/>
      <c r="C243" s="96"/>
      <c r="D243" s="96"/>
      <c r="E243" s="96"/>
      <c r="F243" s="96"/>
      <c r="G243" s="96"/>
      <c r="H243" s="96"/>
    </row>
    <row r="244" spans="1:8" ht="12.75">
      <c r="A244" s="96"/>
      <c r="B244" s="96"/>
      <c r="C244" s="96"/>
      <c r="D244" s="96"/>
      <c r="E244" s="96"/>
      <c r="F244" s="96"/>
      <c r="G244" s="96"/>
      <c r="H244" s="96"/>
    </row>
    <row r="245" spans="1:8" ht="12.75">
      <c r="A245" s="96"/>
      <c r="B245" s="96"/>
      <c r="C245" s="96"/>
      <c r="D245" s="96"/>
      <c r="E245" s="96"/>
      <c r="F245" s="96"/>
      <c r="G245" s="96"/>
      <c r="H245" s="96"/>
    </row>
    <row r="246" spans="1:8" ht="12.75">
      <c r="A246" s="96"/>
      <c r="B246" s="96"/>
      <c r="C246" s="96"/>
      <c r="D246" s="96"/>
      <c r="E246" s="96"/>
      <c r="F246" s="96"/>
      <c r="G246" s="96"/>
      <c r="H246" s="96"/>
    </row>
    <row r="247" spans="1:8" ht="12.75">
      <c r="A247" s="96"/>
      <c r="B247" s="96"/>
      <c r="C247" s="96"/>
      <c r="D247" s="96"/>
      <c r="E247" s="96"/>
      <c r="F247" s="96"/>
      <c r="G247" s="96"/>
      <c r="H247" s="96"/>
    </row>
    <row r="248" spans="1:8" ht="12.75">
      <c r="A248" s="96"/>
      <c r="B248" s="96"/>
      <c r="C248" s="96"/>
      <c r="D248" s="96"/>
      <c r="E248" s="96"/>
      <c r="F248" s="96"/>
      <c r="G248" s="96"/>
      <c r="H248" s="96"/>
    </row>
    <row r="249" spans="1:8" ht="12.75">
      <c r="A249" s="96"/>
      <c r="B249" s="96"/>
      <c r="C249" s="96"/>
      <c r="D249" s="96"/>
      <c r="E249" s="96"/>
      <c r="F249" s="96"/>
      <c r="G249" s="96"/>
      <c r="H249" s="96"/>
    </row>
    <row r="250" spans="1:8" ht="12.75">
      <c r="A250" s="96"/>
      <c r="B250" s="96"/>
      <c r="C250" s="96"/>
      <c r="D250" s="96"/>
      <c r="E250" s="96"/>
      <c r="F250" s="96"/>
      <c r="G250" s="96"/>
      <c r="H250" s="96"/>
    </row>
    <row r="251" spans="1:8" ht="12.75">
      <c r="A251" s="96"/>
      <c r="B251" s="96"/>
      <c r="C251" s="96"/>
      <c r="D251" s="96"/>
      <c r="E251" s="96"/>
      <c r="F251" s="96"/>
      <c r="G251" s="96"/>
      <c r="H251" s="96"/>
    </row>
    <row r="252" spans="1:8" ht="12.75">
      <c r="A252" s="96"/>
      <c r="B252" s="96"/>
      <c r="C252" s="96"/>
      <c r="D252" s="96"/>
      <c r="E252" s="96"/>
      <c r="F252" s="96"/>
      <c r="G252" s="96"/>
      <c r="H252" s="96"/>
    </row>
    <row r="253" spans="1:8" ht="12.75">
      <c r="A253" s="96"/>
      <c r="B253" s="96"/>
      <c r="C253" s="96"/>
      <c r="D253" s="96"/>
      <c r="E253" s="96"/>
      <c r="F253" s="96"/>
      <c r="G253" s="96"/>
      <c r="H253" s="96"/>
    </row>
    <row r="254" spans="1:8" ht="12.75">
      <c r="A254" s="96"/>
      <c r="B254" s="96"/>
      <c r="C254" s="96"/>
      <c r="D254" s="96"/>
      <c r="E254" s="96"/>
      <c r="F254" s="96"/>
      <c r="G254" s="96"/>
      <c r="H254" s="96"/>
    </row>
    <row r="255" spans="1:8" ht="12.75">
      <c r="A255" s="96"/>
      <c r="B255" s="96"/>
      <c r="C255" s="96"/>
      <c r="D255" s="96"/>
      <c r="E255" s="96"/>
      <c r="F255" s="96"/>
      <c r="G255" s="96"/>
      <c r="H255" s="96"/>
    </row>
    <row r="256" spans="1:8" ht="12.75">
      <c r="A256" s="96"/>
      <c r="B256" s="96"/>
      <c r="C256" s="96"/>
      <c r="D256" s="96"/>
      <c r="E256" s="96"/>
      <c r="F256" s="96"/>
      <c r="G256" s="96"/>
      <c r="H256" s="96"/>
    </row>
    <row r="257" spans="1:8" ht="12.75">
      <c r="A257" s="96"/>
      <c r="B257" s="96"/>
      <c r="C257" s="96"/>
      <c r="D257" s="96"/>
      <c r="E257" s="96"/>
      <c r="F257" s="96"/>
      <c r="G257" s="96"/>
      <c r="H257" s="96"/>
    </row>
    <row r="258" spans="1:8" ht="12.75">
      <c r="A258" s="96"/>
      <c r="B258" s="96"/>
      <c r="C258" s="96"/>
      <c r="D258" s="96"/>
      <c r="E258" s="96"/>
      <c r="F258" s="96"/>
      <c r="G258" s="96"/>
      <c r="H258" s="96"/>
    </row>
    <row r="259" spans="1:8" ht="12.75">
      <c r="A259" s="96"/>
      <c r="B259" s="96"/>
      <c r="C259" s="96"/>
      <c r="D259" s="96"/>
      <c r="E259" s="96"/>
      <c r="F259" s="96"/>
      <c r="G259" s="96"/>
      <c r="H259" s="96"/>
    </row>
    <row r="260" spans="1:8" ht="12.75">
      <c r="A260" s="96"/>
      <c r="B260" s="96"/>
      <c r="C260" s="96"/>
      <c r="D260" s="96"/>
      <c r="E260" s="96"/>
      <c r="F260" s="96"/>
      <c r="G260" s="96"/>
      <c r="H260" s="96"/>
    </row>
    <row r="261" spans="1:8" ht="12.75">
      <c r="A261" s="96"/>
      <c r="B261" s="96"/>
      <c r="C261" s="96"/>
      <c r="D261" s="96"/>
      <c r="E261" s="96"/>
      <c r="F261" s="96"/>
      <c r="G261" s="96"/>
      <c r="H261" s="96"/>
    </row>
    <row r="262" spans="1:8" ht="12.75">
      <c r="A262" s="96"/>
      <c r="B262" s="96"/>
      <c r="C262" s="96"/>
      <c r="D262" s="96"/>
      <c r="E262" s="96"/>
      <c r="F262" s="96"/>
      <c r="G262" s="96"/>
      <c r="H262" s="96"/>
    </row>
    <row r="263" spans="1:8" ht="12.75">
      <c r="A263" s="96"/>
      <c r="B263" s="96"/>
      <c r="C263" s="96"/>
      <c r="D263" s="96"/>
      <c r="E263" s="96"/>
      <c r="F263" s="96"/>
      <c r="G263" s="96"/>
      <c r="H263" s="96"/>
    </row>
    <row r="264" spans="1:8" ht="12.75">
      <c r="A264" s="96"/>
      <c r="B264" s="96"/>
      <c r="C264" s="96"/>
      <c r="D264" s="96"/>
      <c r="E264" s="96"/>
      <c r="F264" s="96"/>
      <c r="G264" s="96"/>
      <c r="H264" s="96"/>
    </row>
    <row r="265" spans="1:8" ht="12.75">
      <c r="A265" s="96"/>
      <c r="B265" s="96"/>
      <c r="C265" s="96"/>
      <c r="D265" s="96"/>
      <c r="E265" s="96"/>
      <c r="F265" s="96"/>
      <c r="G265" s="96"/>
      <c r="H265" s="96"/>
    </row>
    <row r="266" spans="1:8" ht="12.75">
      <c r="A266" s="96"/>
      <c r="B266" s="96"/>
      <c r="C266" s="96"/>
      <c r="D266" s="96"/>
      <c r="E266" s="96"/>
      <c r="F266" s="96"/>
      <c r="G266" s="96"/>
      <c r="H266" s="96"/>
    </row>
    <row r="267" spans="1:8" ht="12.75">
      <c r="A267" s="96"/>
      <c r="B267" s="96"/>
      <c r="C267" s="96"/>
      <c r="D267" s="96"/>
      <c r="E267" s="96"/>
      <c r="F267" s="96"/>
      <c r="G267" s="96"/>
      <c r="H267" s="96"/>
    </row>
    <row r="268" spans="1:8" ht="12.75">
      <c r="A268" s="96"/>
      <c r="B268" s="96"/>
      <c r="C268" s="96"/>
      <c r="D268" s="96"/>
      <c r="E268" s="96"/>
      <c r="F268" s="96"/>
      <c r="G268" s="96"/>
      <c r="H268" s="96"/>
    </row>
    <row r="269" spans="1:8" ht="12.75">
      <c r="A269" s="96"/>
      <c r="B269" s="96"/>
      <c r="C269" s="96"/>
      <c r="D269" s="96"/>
      <c r="E269" s="96"/>
      <c r="F269" s="96"/>
      <c r="G269" s="96"/>
      <c r="H269" s="96"/>
    </row>
    <row r="270" spans="1:8" ht="12.75">
      <c r="A270" s="96"/>
      <c r="B270" s="96"/>
      <c r="C270" s="96"/>
      <c r="D270" s="96"/>
      <c r="E270" s="96"/>
      <c r="F270" s="96"/>
      <c r="G270" s="96"/>
      <c r="H270" s="96"/>
    </row>
    <row r="271" spans="1:8" ht="12.75">
      <c r="A271" s="96"/>
      <c r="B271" s="96"/>
      <c r="C271" s="96"/>
      <c r="D271" s="96"/>
      <c r="E271" s="96"/>
      <c r="F271" s="96"/>
      <c r="G271" s="96"/>
      <c r="H271" s="96"/>
    </row>
    <row r="272" spans="1:8" ht="12.75">
      <c r="A272" s="96"/>
      <c r="B272" s="96"/>
      <c r="C272" s="96"/>
      <c r="D272" s="96"/>
      <c r="E272" s="96"/>
      <c r="F272" s="96"/>
      <c r="G272" s="96"/>
      <c r="H272" s="96"/>
    </row>
    <row r="273" spans="1:8" ht="12.75">
      <c r="A273" s="96"/>
      <c r="B273" s="96"/>
      <c r="C273" s="96"/>
      <c r="D273" s="96"/>
      <c r="E273" s="96"/>
      <c r="F273" s="96"/>
      <c r="G273" s="96"/>
      <c r="H273" s="96"/>
    </row>
    <row r="274" spans="1:8" ht="12.75">
      <c r="A274" s="96"/>
      <c r="B274" s="96"/>
      <c r="C274" s="96"/>
      <c r="D274" s="96"/>
      <c r="E274" s="96"/>
      <c r="F274" s="96"/>
      <c r="G274" s="96"/>
      <c r="H274" s="96"/>
    </row>
    <row r="275" spans="1:8" ht="12.75">
      <c r="A275" s="96"/>
      <c r="B275" s="96"/>
      <c r="C275" s="96"/>
      <c r="D275" s="96"/>
      <c r="E275" s="96"/>
      <c r="F275" s="96"/>
      <c r="G275" s="96"/>
      <c r="H275" s="96"/>
    </row>
    <row r="276" spans="1:8" ht="12.75">
      <c r="A276" s="96"/>
      <c r="B276" s="96"/>
      <c r="C276" s="96"/>
      <c r="D276" s="96"/>
      <c r="E276" s="96"/>
      <c r="F276" s="96"/>
      <c r="G276" s="96"/>
      <c r="H276" s="96"/>
    </row>
    <row r="277" spans="1:8" ht="12.75">
      <c r="A277" s="96"/>
      <c r="B277" s="96"/>
      <c r="C277" s="96"/>
      <c r="D277" s="96"/>
      <c r="E277" s="96"/>
      <c r="F277" s="96"/>
      <c r="G277" s="96"/>
      <c r="H277" s="96"/>
    </row>
    <row r="278" spans="1:8" ht="12.75">
      <c r="A278" s="96"/>
      <c r="B278" s="96"/>
      <c r="C278" s="96"/>
      <c r="D278" s="96"/>
      <c r="E278" s="96"/>
      <c r="F278" s="96"/>
      <c r="G278" s="96"/>
      <c r="H278" s="96"/>
    </row>
    <row r="279" spans="1:8" ht="12.75">
      <c r="A279" s="96"/>
      <c r="B279" s="96"/>
      <c r="C279" s="96"/>
      <c r="D279" s="96"/>
      <c r="E279" s="96"/>
      <c r="F279" s="96"/>
      <c r="G279" s="96"/>
      <c r="H279" s="96"/>
    </row>
    <row r="280" spans="1:8" ht="12.75">
      <c r="A280" s="96"/>
      <c r="B280" s="96"/>
      <c r="C280" s="96"/>
      <c r="D280" s="96"/>
      <c r="E280" s="96"/>
      <c r="F280" s="96"/>
      <c r="G280" s="96"/>
      <c r="H280" s="96"/>
    </row>
    <row r="281" spans="1:8" ht="12.75">
      <c r="A281" s="96"/>
      <c r="B281" s="96"/>
      <c r="C281" s="96"/>
      <c r="D281" s="96"/>
      <c r="E281" s="96"/>
      <c r="F281" s="96"/>
      <c r="G281" s="96"/>
      <c r="H281" s="96"/>
    </row>
    <row r="282" spans="1:8" ht="12.75">
      <c r="A282" s="96"/>
      <c r="B282" s="96"/>
      <c r="C282" s="96"/>
      <c r="D282" s="96"/>
      <c r="E282" s="96"/>
      <c r="F282" s="96"/>
      <c r="G282" s="96"/>
      <c r="H282" s="96"/>
    </row>
    <row r="283" spans="1:8" ht="12.75">
      <c r="A283" s="96"/>
      <c r="B283" s="96"/>
      <c r="C283" s="96"/>
      <c r="D283" s="96"/>
      <c r="E283" s="96"/>
      <c r="F283" s="96"/>
      <c r="G283" s="96"/>
      <c r="H283" s="96"/>
    </row>
    <row r="284" spans="1:8" ht="12.75">
      <c r="A284" s="96"/>
      <c r="B284" s="96"/>
      <c r="C284" s="96"/>
      <c r="D284" s="96"/>
      <c r="E284" s="96"/>
      <c r="F284" s="96"/>
      <c r="G284" s="96"/>
      <c r="H284" s="96"/>
    </row>
    <row r="285" spans="1:8" ht="12.75">
      <c r="A285" s="96"/>
      <c r="B285" s="96"/>
      <c r="C285" s="96"/>
      <c r="D285" s="96"/>
      <c r="E285" s="96"/>
      <c r="F285" s="96"/>
      <c r="G285" s="96"/>
      <c r="H285" s="96"/>
    </row>
    <row r="286" spans="1:8" ht="12.75">
      <c r="A286" s="96"/>
      <c r="B286" s="96"/>
      <c r="C286" s="96"/>
      <c r="D286" s="96"/>
      <c r="E286" s="96"/>
      <c r="F286" s="96"/>
      <c r="G286" s="96"/>
      <c r="H286" s="96"/>
    </row>
    <row r="287" spans="1:8" ht="12.75">
      <c r="A287" s="96"/>
      <c r="B287" s="96"/>
      <c r="C287" s="96"/>
      <c r="D287" s="96"/>
      <c r="E287" s="96"/>
      <c r="F287" s="96"/>
      <c r="G287" s="96"/>
      <c r="H287" s="96"/>
    </row>
    <row r="288" spans="1:8" ht="12.75">
      <c r="A288" s="96"/>
      <c r="B288" s="96"/>
      <c r="C288" s="96"/>
      <c r="D288" s="96"/>
      <c r="E288" s="96"/>
      <c r="F288" s="96"/>
      <c r="G288" s="96"/>
      <c r="H288" s="96"/>
    </row>
    <row r="289" spans="1:8" ht="12.75">
      <c r="A289" s="96"/>
      <c r="B289" s="96"/>
      <c r="C289" s="96"/>
      <c r="D289" s="96"/>
      <c r="E289" s="96"/>
      <c r="F289" s="96"/>
      <c r="G289" s="96"/>
      <c r="H289" s="96"/>
    </row>
    <row r="290" spans="1:8" ht="12.75">
      <c r="A290" s="96"/>
      <c r="B290" s="96"/>
      <c r="C290" s="96"/>
      <c r="D290" s="96"/>
      <c r="E290" s="96"/>
      <c r="F290" s="96"/>
      <c r="G290" s="96"/>
      <c r="H290" s="96"/>
    </row>
    <row r="291" spans="1:8" ht="12.75">
      <c r="A291" s="96"/>
      <c r="B291" s="96"/>
      <c r="C291" s="96"/>
      <c r="D291" s="96"/>
      <c r="E291" s="96"/>
      <c r="F291" s="96"/>
      <c r="G291" s="96"/>
      <c r="H291" s="96"/>
    </row>
    <row r="292" spans="1:8" ht="12.75">
      <c r="A292" s="96"/>
      <c r="B292" s="96"/>
      <c r="C292" s="96"/>
      <c r="D292" s="96"/>
      <c r="E292" s="96"/>
      <c r="F292" s="96"/>
      <c r="G292" s="96"/>
      <c r="H292" s="96"/>
    </row>
    <row r="293" spans="1:8" ht="12.75">
      <c r="A293" s="96"/>
      <c r="B293" s="96"/>
      <c r="C293" s="96"/>
      <c r="D293" s="96"/>
      <c r="E293" s="96"/>
      <c r="F293" s="96"/>
      <c r="G293" s="96"/>
      <c r="H293" s="96"/>
    </row>
    <row r="294" spans="1:8" ht="12.75">
      <c r="A294" s="96"/>
      <c r="B294" s="96"/>
      <c r="C294" s="96"/>
      <c r="D294" s="96"/>
      <c r="E294" s="96"/>
      <c r="F294" s="96"/>
      <c r="G294" s="96"/>
      <c r="H294" s="96"/>
    </row>
    <row r="295" spans="1:8" ht="12.75">
      <c r="A295" s="96"/>
      <c r="B295" s="96"/>
      <c r="C295" s="96"/>
      <c r="D295" s="96"/>
      <c r="E295" s="96"/>
      <c r="F295" s="96"/>
      <c r="G295" s="96"/>
      <c r="H295" s="96"/>
    </row>
    <row r="296" spans="1:8" ht="12.75">
      <c r="A296" s="96"/>
      <c r="B296" s="96"/>
      <c r="C296" s="96"/>
      <c r="D296" s="96"/>
      <c r="E296" s="96"/>
      <c r="F296" s="96"/>
      <c r="G296" s="96"/>
      <c r="H296" s="96"/>
    </row>
    <row r="297" spans="1:8" ht="12.75">
      <c r="A297" s="96"/>
      <c r="B297" s="96"/>
      <c r="C297" s="96"/>
      <c r="D297" s="96"/>
      <c r="E297" s="96"/>
      <c r="F297" s="96"/>
      <c r="G297" s="96"/>
      <c r="H297" s="96"/>
    </row>
    <row r="298" spans="1:8" ht="12.75">
      <c r="A298" s="96"/>
      <c r="B298" s="96"/>
      <c r="C298" s="96"/>
      <c r="D298" s="96"/>
      <c r="E298" s="96"/>
      <c r="F298" s="96"/>
      <c r="G298" s="96"/>
      <c r="H298" s="96"/>
    </row>
    <row r="299" spans="1:8" ht="12.75">
      <c r="A299" s="96"/>
      <c r="B299" s="96"/>
      <c r="C299" s="96"/>
      <c r="D299" s="96"/>
      <c r="E299" s="96"/>
      <c r="F299" s="96"/>
      <c r="G299" s="96"/>
      <c r="H299" s="96"/>
    </row>
    <row r="300" spans="1:8" ht="12.75">
      <c r="A300" s="96"/>
      <c r="B300" s="96"/>
      <c r="C300" s="96"/>
      <c r="D300" s="96"/>
      <c r="E300" s="96"/>
      <c r="F300" s="96"/>
      <c r="G300" s="96"/>
      <c r="H300" s="96"/>
    </row>
    <row r="301" spans="1:8" ht="12.75">
      <c r="A301" s="96"/>
      <c r="B301" s="96"/>
      <c r="C301" s="96"/>
      <c r="D301" s="96"/>
      <c r="E301" s="96"/>
      <c r="F301" s="96"/>
      <c r="G301" s="96"/>
      <c r="H301" s="96"/>
    </row>
    <row r="302" spans="1:8" ht="12.75">
      <c r="A302" s="96"/>
      <c r="B302" s="96"/>
      <c r="C302" s="96"/>
      <c r="D302" s="96"/>
      <c r="E302" s="96"/>
      <c r="F302" s="96"/>
      <c r="G302" s="96"/>
      <c r="H302" s="96"/>
    </row>
    <row r="303" spans="1:8" ht="12.75">
      <c r="A303" s="96"/>
      <c r="B303" s="96"/>
      <c r="C303" s="96"/>
      <c r="D303" s="96"/>
      <c r="E303" s="96"/>
      <c r="F303" s="96"/>
      <c r="G303" s="96"/>
      <c r="H303" s="96"/>
    </row>
    <row r="304" spans="1:8" ht="12.75">
      <c r="A304" s="96"/>
      <c r="B304" s="96"/>
      <c r="C304" s="96"/>
      <c r="D304" s="96"/>
      <c r="E304" s="96"/>
      <c r="F304" s="96"/>
      <c r="G304" s="96"/>
      <c r="H304" s="96"/>
    </row>
    <row r="305" spans="1:8" ht="12.75">
      <c r="A305" s="96"/>
      <c r="B305" s="96"/>
      <c r="C305" s="96"/>
      <c r="D305" s="96"/>
      <c r="E305" s="96"/>
      <c r="F305" s="96"/>
      <c r="G305" s="96"/>
      <c r="H305" s="96"/>
    </row>
    <row r="306" spans="1:8" ht="12.75">
      <c r="A306" s="96"/>
      <c r="B306" s="96"/>
      <c r="C306" s="96"/>
      <c r="D306" s="96"/>
      <c r="E306" s="96"/>
      <c r="F306" s="96"/>
      <c r="G306" s="96"/>
      <c r="H306" s="96"/>
    </row>
    <row r="307" spans="1:8" ht="12.75">
      <c r="A307" s="96"/>
      <c r="B307" s="96"/>
      <c r="C307" s="96"/>
      <c r="D307" s="96"/>
      <c r="E307" s="96"/>
      <c r="F307" s="96"/>
      <c r="G307" s="96"/>
      <c r="H307" s="96"/>
    </row>
    <row r="308" spans="1:8" ht="12.75">
      <c r="A308" s="96"/>
      <c r="B308" s="96"/>
      <c r="C308" s="96"/>
      <c r="D308" s="96"/>
      <c r="E308" s="96"/>
      <c r="F308" s="96"/>
      <c r="G308" s="96"/>
      <c r="H308" s="96"/>
    </row>
    <row r="309" spans="1:8" ht="12.75">
      <c r="A309" s="96"/>
      <c r="B309" s="96"/>
      <c r="C309" s="96"/>
      <c r="D309" s="96"/>
      <c r="E309" s="96"/>
      <c r="F309" s="96"/>
      <c r="G309" s="96"/>
      <c r="H309" s="96"/>
    </row>
    <row r="310" spans="1:8" ht="12.75">
      <c r="A310" s="96"/>
      <c r="B310" s="96"/>
      <c r="C310" s="96"/>
      <c r="D310" s="96"/>
      <c r="E310" s="96"/>
      <c r="F310" s="96"/>
      <c r="G310" s="96"/>
      <c r="H310" s="96"/>
    </row>
    <row r="311" spans="1:8" ht="12.75">
      <c r="A311" s="96"/>
      <c r="B311" s="96"/>
      <c r="C311" s="96"/>
      <c r="D311" s="96"/>
      <c r="E311" s="96"/>
      <c r="F311" s="96"/>
      <c r="G311" s="96"/>
      <c r="H311" s="96"/>
    </row>
    <row r="312" spans="1:8" ht="12.75">
      <c r="A312" s="96"/>
      <c r="B312" s="96"/>
      <c r="C312" s="96"/>
      <c r="D312" s="96"/>
      <c r="E312" s="96"/>
      <c r="F312" s="96"/>
      <c r="G312" s="96"/>
      <c r="H312" s="96"/>
    </row>
    <row r="313" spans="1:8" ht="12.75">
      <c r="A313" s="96"/>
      <c r="B313" s="96"/>
      <c r="C313" s="96"/>
      <c r="D313" s="96"/>
      <c r="E313" s="96"/>
      <c r="F313" s="96"/>
      <c r="G313" s="96"/>
      <c r="H313" s="96"/>
    </row>
    <row r="314" spans="1:8" ht="12.75">
      <c r="A314" s="96"/>
      <c r="B314" s="96"/>
      <c r="C314" s="96"/>
      <c r="D314" s="96"/>
      <c r="E314" s="96"/>
      <c r="F314" s="96"/>
      <c r="G314" s="96"/>
      <c r="H314" s="96"/>
    </row>
    <row r="315" spans="1:8" ht="12.75">
      <c r="A315" s="96"/>
      <c r="B315" s="96"/>
      <c r="C315" s="96"/>
      <c r="D315" s="96"/>
      <c r="E315" s="96"/>
      <c r="F315" s="96"/>
      <c r="G315" s="96"/>
      <c r="H315" s="96"/>
    </row>
    <row r="316" spans="1:8" ht="12.75">
      <c r="A316" s="96"/>
      <c r="B316" s="96"/>
      <c r="C316" s="96"/>
      <c r="D316" s="96"/>
      <c r="E316" s="96"/>
      <c r="F316" s="96"/>
      <c r="G316" s="96"/>
      <c r="H316" s="96"/>
    </row>
    <row r="317" spans="1:8" ht="12.75">
      <c r="A317" s="96"/>
      <c r="B317" s="96"/>
      <c r="C317" s="96"/>
      <c r="D317" s="96"/>
      <c r="E317" s="96"/>
      <c r="F317" s="96"/>
      <c r="G317" s="96"/>
      <c r="H317" s="96"/>
    </row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7"/>
  <sheetViews>
    <sheetView zoomScale="90" zoomScaleNormal="90" workbookViewId="0" topLeftCell="A13">
      <selection activeCell="M67" sqref="M67:S68"/>
    </sheetView>
  </sheetViews>
  <sheetFormatPr defaultColWidth="9.140625" defaultRowHeight="12.75"/>
  <cols>
    <col min="1" max="1" width="20.421875" style="0" customWidth="1"/>
    <col min="2" max="7" width="10.8515625" style="0" customWidth="1"/>
    <col min="12" max="12" width="9.421875" style="0" customWidth="1"/>
    <col min="13" max="13" width="11.7109375" style="0" customWidth="1"/>
    <col min="14" max="14" width="11.28125" style="0" customWidth="1"/>
    <col min="15" max="15" width="11.7109375" style="0" customWidth="1"/>
  </cols>
  <sheetData>
    <row r="1" spans="1:14" ht="12.75">
      <c r="A1" s="72" t="s">
        <v>358</v>
      </c>
      <c r="B1" s="73"/>
      <c r="C1" s="73"/>
      <c r="D1" s="72"/>
      <c r="E1" s="72"/>
      <c r="F1" s="72"/>
      <c r="G1" s="73"/>
      <c r="H1" s="73"/>
      <c r="I1" s="73"/>
      <c r="J1" s="386" t="s">
        <v>366</v>
      </c>
      <c r="K1" s="386"/>
      <c r="L1" s="386"/>
      <c r="M1" s="114"/>
      <c r="N1" s="114"/>
    </row>
    <row r="2" spans="3:7" ht="12.75">
      <c r="C2" s="267" t="s">
        <v>76</v>
      </c>
      <c r="E2" s="267" t="s">
        <v>76</v>
      </c>
      <c r="G2" s="267" t="s">
        <v>76</v>
      </c>
    </row>
    <row r="3" spans="1:16" ht="12.75">
      <c r="A3" s="74" t="s">
        <v>52</v>
      </c>
      <c r="B3" s="98" t="s">
        <v>303</v>
      </c>
      <c r="C3" s="266">
        <f>Param!B9</f>
        <v>16</v>
      </c>
      <c r="D3" s="98" t="s">
        <v>304</v>
      </c>
      <c r="E3" s="266">
        <f>Param!C9</f>
        <v>22</v>
      </c>
      <c r="F3" s="98" t="s">
        <v>305</v>
      </c>
      <c r="G3" s="266">
        <f>Param!D9</f>
        <v>26</v>
      </c>
      <c r="I3" s="239" t="s">
        <v>349</v>
      </c>
      <c r="J3" s="364"/>
      <c r="K3" s="364"/>
      <c r="L3" s="364"/>
      <c r="M3" s="364"/>
      <c r="N3" s="82"/>
      <c r="O3" s="82"/>
      <c r="P3" s="82"/>
    </row>
    <row r="4" spans="1:16" ht="13.5" thickBot="1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I4" s="82"/>
      <c r="L4" t="s">
        <v>348</v>
      </c>
      <c r="M4" s="99" t="s">
        <v>361</v>
      </c>
      <c r="N4" t="s">
        <v>353</v>
      </c>
      <c r="O4" s="99" t="s">
        <v>354</v>
      </c>
      <c r="P4" s="82" t="s">
        <v>341</v>
      </c>
    </row>
    <row r="5" spans="1:16" ht="12.75">
      <c r="A5" s="309" t="s">
        <v>54</v>
      </c>
      <c r="B5" s="201"/>
      <c r="C5" s="367"/>
      <c r="D5" s="201"/>
      <c r="E5" s="367"/>
      <c r="F5" s="201"/>
      <c r="G5" s="202"/>
      <c r="I5" s="365" t="s">
        <v>339</v>
      </c>
      <c r="L5">
        <f>Param!B64</f>
        <v>18</v>
      </c>
      <c r="M5" s="2">
        <f>1/L5*60</f>
        <v>3.333333333333333</v>
      </c>
      <c r="N5" s="73">
        <f>Param!C64</f>
        <v>4</v>
      </c>
      <c r="O5" s="30">
        <f>N5/2</f>
        <v>2</v>
      </c>
      <c r="P5" s="2">
        <f>SUM(M5:M5)</f>
        <v>3.333333333333333</v>
      </c>
    </row>
    <row r="6" spans="1:16" ht="12.75">
      <c r="A6" s="285" t="s">
        <v>49</v>
      </c>
      <c r="B6" s="363">
        <f>1Low!G89</f>
        <v>-23.56375931022201</v>
      </c>
      <c r="C6" s="361">
        <f>1High!G89</f>
        <v>5.281778385525506</v>
      </c>
      <c r="D6" s="363">
        <f>2Low!G89</f>
        <v>-14.260713805966528</v>
      </c>
      <c r="E6" s="361">
        <f>2High!G89</f>
        <v>35.443388675461485</v>
      </c>
      <c r="F6" s="363">
        <f>3Low!G89</f>
        <v>-1.2374346948001704</v>
      </c>
      <c r="G6" s="368">
        <f>3High!G89</f>
        <v>69.05859554589482</v>
      </c>
      <c r="I6" s="415" t="s">
        <v>340</v>
      </c>
      <c r="J6" s="416"/>
      <c r="K6" s="416"/>
      <c r="L6" s="416">
        <f>Param!C21</f>
        <v>54</v>
      </c>
      <c r="M6" s="152">
        <f>1/L6*60</f>
        <v>1.1111111111111112</v>
      </c>
      <c r="N6" s="416"/>
      <c r="O6" s="417">
        <f>Param!D65</f>
        <v>0.75</v>
      </c>
      <c r="P6" s="152">
        <f>SUM(M6:M6)</f>
        <v>1.1111111111111112</v>
      </c>
    </row>
    <row r="7" spans="1:16" ht="12.75">
      <c r="A7" s="285" t="s">
        <v>209</v>
      </c>
      <c r="B7" s="369">
        <f>1Low!G109</f>
        <v>3.747654462076179</v>
      </c>
      <c r="C7" s="362">
        <f>1High!G109</f>
        <v>63.97235450206504</v>
      </c>
      <c r="D7" s="369">
        <f>2Low!G109</f>
        <v>34.066419970413335</v>
      </c>
      <c r="E7" s="362">
        <f>2High!G109</f>
        <v>136.88533500128605</v>
      </c>
      <c r="F7" s="369">
        <f>3Low!G109</f>
        <v>67.72237936293168</v>
      </c>
      <c r="G7" s="370">
        <f>3High!G109</f>
        <v>212.11900197627307</v>
      </c>
      <c r="I7" s="75" t="s">
        <v>346</v>
      </c>
      <c r="J7" s="75"/>
      <c r="M7" s="2">
        <f>M5-M6</f>
        <v>2.222222222222222</v>
      </c>
      <c r="O7" s="2">
        <f>O5-O6</f>
        <v>1.25</v>
      </c>
      <c r="P7" s="2">
        <f>SUM(M7:M7)</f>
        <v>2.222222222222222</v>
      </c>
    </row>
    <row r="8" spans="1:16" ht="13.5" thickBot="1">
      <c r="A8" s="287" t="s">
        <v>210</v>
      </c>
      <c r="B8" s="371">
        <f>1Low!G144</f>
        <v>26.853693564762246</v>
      </c>
      <c r="C8" s="372">
        <f>1High!G144</f>
        <v>113.62583483867898</v>
      </c>
      <c r="D8" s="371">
        <f>2Low!G144</f>
        <v>74.95220684573007</v>
      </c>
      <c r="E8" s="372">
        <f>2High!G144</f>
        <v>222.70738720257165</v>
      </c>
      <c r="F8" s="371">
        <f>3Low!G144</f>
        <v>126.06385422821593</v>
      </c>
      <c r="G8" s="373">
        <f>3High!G144</f>
        <v>333.1511599079616</v>
      </c>
      <c r="I8" s="75" t="s">
        <v>347</v>
      </c>
      <c r="J8" s="75"/>
      <c r="L8" s="82">
        <v>60</v>
      </c>
      <c r="M8" s="128">
        <f>M7/$L$8</f>
        <v>0.03703703703703703</v>
      </c>
      <c r="O8" s="128">
        <f>O7/$L$8</f>
        <v>0.020833333333333332</v>
      </c>
      <c r="P8" s="47">
        <f>P7/$L$8</f>
        <v>0.03703703703703703</v>
      </c>
    </row>
    <row r="9" spans="1:14" ht="13.5" thickBot="1">
      <c r="A9" s="351" t="s">
        <v>355</v>
      </c>
      <c r="I9" s="75" t="s">
        <v>343</v>
      </c>
      <c r="J9" s="75"/>
      <c r="K9" s="75"/>
      <c r="L9" s="72">
        <f>Param!B66</f>
        <v>40</v>
      </c>
      <c r="M9" s="82"/>
      <c r="N9" s="82"/>
    </row>
    <row r="10" spans="1:13" ht="12.75">
      <c r="A10" s="354" t="s">
        <v>350</v>
      </c>
      <c r="B10" s="376">
        <f>1Low!$G$12/1000000</f>
        <v>15.329999999999998</v>
      </c>
      <c r="C10" s="376">
        <f>1High!$G$12/1000000</f>
        <v>30.659999999999997</v>
      </c>
      <c r="D10" s="376">
        <f>2Low!$G$12/1000000</f>
        <v>25.869375</v>
      </c>
      <c r="E10" s="376">
        <f>2High!$G$12/1000000</f>
        <v>51.73875</v>
      </c>
      <c r="F10" s="376">
        <f>3Low!$G$12/1000000</f>
        <v>36.089375</v>
      </c>
      <c r="G10" s="377">
        <f>3High!$G$12/1000000</f>
        <v>72.17875</v>
      </c>
      <c r="J10" s="82"/>
      <c r="K10" s="82"/>
      <c r="L10" s="82"/>
      <c r="M10" s="82"/>
    </row>
    <row r="11" spans="1:7" ht="12.75">
      <c r="A11" s="285" t="s">
        <v>342</v>
      </c>
      <c r="B11" s="378">
        <f aca="true" t="shared" si="0" ref="B11:G11">B10*$M$8</f>
        <v>0.5677777777777776</v>
      </c>
      <c r="C11" s="378">
        <f t="shared" si="0"/>
        <v>1.1355555555555552</v>
      </c>
      <c r="D11" s="378">
        <f t="shared" si="0"/>
        <v>0.9581249999999998</v>
      </c>
      <c r="E11" s="378">
        <f t="shared" si="0"/>
        <v>1.9162499999999996</v>
      </c>
      <c r="F11" s="378">
        <f t="shared" si="0"/>
        <v>1.3366435185185181</v>
      </c>
      <c r="G11" s="379">
        <f t="shared" si="0"/>
        <v>2.6732870370370363</v>
      </c>
    </row>
    <row r="12" spans="1:13" ht="13.5" thickBot="1">
      <c r="A12" s="287" t="s">
        <v>344</v>
      </c>
      <c r="B12" s="380">
        <f aca="true" t="shared" si="1" ref="B12:G12">B11*$L$9</f>
        <v>22.711111111111105</v>
      </c>
      <c r="C12" s="380">
        <f t="shared" si="1"/>
        <v>45.42222222222221</v>
      </c>
      <c r="D12" s="380">
        <f t="shared" si="1"/>
        <v>38.32499999999999</v>
      </c>
      <c r="E12" s="380">
        <f t="shared" si="1"/>
        <v>76.64999999999998</v>
      </c>
      <c r="F12" s="380">
        <f t="shared" si="1"/>
        <v>53.46574074074073</v>
      </c>
      <c r="G12" s="381">
        <f t="shared" si="1"/>
        <v>106.93148148148146</v>
      </c>
      <c r="J12" s="82"/>
      <c r="K12" s="82"/>
      <c r="L12" s="82"/>
      <c r="M12" s="82"/>
    </row>
    <row r="13" spans="1:13" ht="13.5" thickBot="1">
      <c r="A13" s="351" t="s">
        <v>356</v>
      </c>
      <c r="B13" s="366"/>
      <c r="C13" s="366"/>
      <c r="D13" s="366"/>
      <c r="E13" s="366"/>
      <c r="F13" s="366"/>
      <c r="G13" s="366"/>
      <c r="J13" s="82"/>
      <c r="K13" s="82"/>
      <c r="L13" s="82"/>
      <c r="M13" s="82"/>
    </row>
    <row r="14" spans="1:13" ht="12.75">
      <c r="A14" s="354" t="s">
        <v>345</v>
      </c>
      <c r="B14" s="376">
        <f>1Low!$G$10/1000000</f>
        <v>2.7375</v>
      </c>
      <c r="C14" s="376">
        <f>1High!$G$10/1000000</f>
        <v>5.475</v>
      </c>
      <c r="D14" s="376">
        <f>2Low!$G$10/1000000</f>
        <v>4.10625</v>
      </c>
      <c r="E14" s="376">
        <f>2High!$G$10/1000000</f>
        <v>8.2125</v>
      </c>
      <c r="F14" s="376">
        <f>3Low!$G$10/1000000</f>
        <v>5.155625</v>
      </c>
      <c r="G14" s="377">
        <f>3High!$G$10/1000000</f>
        <v>10.31125</v>
      </c>
      <c r="J14" s="82"/>
      <c r="K14" s="82"/>
      <c r="L14" s="82"/>
      <c r="M14" s="82"/>
    </row>
    <row r="15" spans="1:13" ht="12.75">
      <c r="A15" s="285" t="s">
        <v>342</v>
      </c>
      <c r="B15" s="378">
        <f aca="true" t="shared" si="2" ref="B15:G15">B14*$O$8</f>
        <v>0.05703124999999999</v>
      </c>
      <c r="C15" s="378">
        <f t="shared" si="2"/>
        <v>0.11406249999999998</v>
      </c>
      <c r="D15" s="378">
        <f t="shared" si="2"/>
        <v>0.085546875</v>
      </c>
      <c r="E15" s="378">
        <f t="shared" si="2"/>
        <v>0.17109375</v>
      </c>
      <c r="F15" s="378">
        <f t="shared" si="2"/>
        <v>0.10740885416666665</v>
      </c>
      <c r="G15" s="379">
        <f t="shared" si="2"/>
        <v>0.2148177083333333</v>
      </c>
      <c r="J15" s="82"/>
      <c r="K15" s="82"/>
      <c r="L15" s="82"/>
      <c r="M15" s="82"/>
    </row>
    <row r="16" spans="1:13" ht="13.5" thickBot="1">
      <c r="A16" s="287" t="s">
        <v>344</v>
      </c>
      <c r="B16" s="380">
        <f aca="true" t="shared" si="3" ref="B16:G16">B15*$L$9</f>
        <v>2.2812499999999996</v>
      </c>
      <c r="C16" s="380">
        <f t="shared" si="3"/>
        <v>4.562499999999999</v>
      </c>
      <c r="D16" s="380">
        <f t="shared" si="3"/>
        <v>3.421875</v>
      </c>
      <c r="E16" s="380">
        <f t="shared" si="3"/>
        <v>6.84375</v>
      </c>
      <c r="F16" s="380">
        <f t="shared" si="3"/>
        <v>4.296354166666666</v>
      </c>
      <c r="G16" s="381">
        <f t="shared" si="3"/>
        <v>8.592708333333333</v>
      </c>
      <c r="J16" s="82"/>
      <c r="K16" s="82"/>
      <c r="L16" s="82"/>
      <c r="M16" s="82"/>
    </row>
    <row r="17" spans="1:13" ht="12.75">
      <c r="A17" s="360" t="s">
        <v>351</v>
      </c>
      <c r="B17" s="382">
        <f aca="true" t="shared" si="4" ref="B17:G17">B12+B16</f>
        <v>24.992361111111105</v>
      </c>
      <c r="C17" s="382">
        <f t="shared" si="4"/>
        <v>49.98472222222221</v>
      </c>
      <c r="D17" s="382">
        <f t="shared" si="4"/>
        <v>41.74687499999999</v>
      </c>
      <c r="E17" s="382">
        <f t="shared" si="4"/>
        <v>83.49374999999998</v>
      </c>
      <c r="F17" s="382">
        <f t="shared" si="4"/>
        <v>57.762094907407395</v>
      </c>
      <c r="G17" s="382">
        <f t="shared" si="4"/>
        <v>115.52418981481479</v>
      </c>
      <c r="J17" s="82"/>
      <c r="K17" s="82"/>
      <c r="L17" s="82"/>
      <c r="M17" s="82"/>
    </row>
    <row r="18" spans="1:13" ht="13.5" thickBot="1">
      <c r="A18" s="144" t="s">
        <v>359</v>
      </c>
      <c r="B18" s="382"/>
      <c r="C18" s="382"/>
      <c r="D18" s="382"/>
      <c r="E18" s="382"/>
      <c r="F18" s="382"/>
      <c r="G18" s="382"/>
      <c r="J18" s="82"/>
      <c r="K18" s="82"/>
      <c r="L18" s="82"/>
      <c r="M18" s="82"/>
    </row>
    <row r="19" spans="1:13" ht="12.75">
      <c r="A19" s="383" t="s">
        <v>357</v>
      </c>
      <c r="B19" s="387">
        <f>NPV(Param!$B$38,B17,B17,B17,B17,B17,B17,B17,B17,B17,B17)</f>
        <v>192.98438775446672</v>
      </c>
      <c r="C19" s="387">
        <f>NPV(Param!$B$38,C17,C17,C17,C17,C17,C17,C17,C17,C17,C17)</f>
        <v>385.96877550893345</v>
      </c>
      <c r="D19" s="387">
        <f>NPV(Param!$B$38,D17,D17,D17,D17,D17,D17,D17,D17,D17,D17)</f>
        <v>322.35830287181204</v>
      </c>
      <c r="E19" s="387">
        <f>NPV(Param!$B$38,E17,E17,E17,E17,E17,E17,E17,E17,E17,E17)</f>
        <v>644.7166057436241</v>
      </c>
      <c r="F19" s="387">
        <f>NPV(Param!$B$38,F17,F17,F17,F17,F17,F17,F17,F17,F17,F17)</f>
        <v>446.0235858294158</v>
      </c>
      <c r="G19" s="388">
        <f>NPV(Param!$B$38,G17,G17,G17,G17,G17,G17,G17,G17,G17,G17)</f>
        <v>892.0471716588316</v>
      </c>
      <c r="J19" s="82"/>
      <c r="K19" s="82"/>
      <c r="L19" s="82"/>
      <c r="M19" s="82"/>
    </row>
    <row r="20" spans="1:13" ht="12.75">
      <c r="A20" s="384" t="s">
        <v>209</v>
      </c>
      <c r="B20" s="185">
        <f>NPV(Param!$B$38,B17,B17,B17,B17,B17,B17,B17,B17,B17,B17,B17,B17,B17,B17,B17,B17,B17,B17,B17,B17,B17,B17,B17,B17,B17)</f>
        <v>352.2409520745726</v>
      </c>
      <c r="C20" s="185">
        <f>NPV(Param!$B$38,C17,C17,C17,C17,C17,C17,C17,C17,C17,C17,C17,C17,C17,C17,C17,C17,C17,C17,C17,C17,C17,C17,C17,C17,C17)</f>
        <v>704.4819041491452</v>
      </c>
      <c r="D20" s="185">
        <f>NPV(Param!$B$38,D17,D17,D17,D17,D17,D17,D17,D17,D17,D17,D17,D17,D17,D17,D17,D17,D17,D17,D17,D17,D17,D17,D17,D17,D17)</f>
        <v>588.3781420555993</v>
      </c>
      <c r="E20" s="185">
        <f>NPV(Param!$B$38,E17,E17,E17,E17,E17,E17,E17,E17,E17,E17,E17,E17,E17,E17,E17,E17,E17,E17,E17,E17,E17,E17,E17,E17,E17)</f>
        <v>1176.7562841111985</v>
      </c>
      <c r="F20" s="185">
        <f>NPV(Param!$B$38,F17,F17,F17,F17,F17,F17,F17,F17,F17,F17,F17,F17,F17,F17,F17,F17,F17,F17,F17,F17,F17,F17,F17,F17,F17)</f>
        <v>814.0957636436157</v>
      </c>
      <c r="G20" s="186">
        <f>NPV(Param!$B$38,G17,G17,G17,G17,G17,G17,G17,G17,G17,G17,G17,G17,G17,G17,G17,G17,G17,G17,G17,G17,G17,G17,G17,G17,G17)</f>
        <v>1628.1915272872313</v>
      </c>
      <c r="J20" s="82"/>
      <c r="K20" s="82"/>
      <c r="L20" s="82"/>
      <c r="M20" s="82"/>
    </row>
    <row r="21" spans="1:13" ht="13.5" thickBot="1">
      <c r="A21" s="385" t="s">
        <v>367</v>
      </c>
      <c r="B21" s="389">
        <f>NPV(Param!$B$38,B17*3*0.75,B17*3*0.75,B17*3*0.75,B17*3*0.75,B17*3*0.75,B17*3*0.75,B17*3*0.75,B17*3*0.75,B17*3*0.75,B17*3*0.75,B17*3*0.75,B17*3*0.75,B17*3*0.75,B17*3*0.75,B17*3*0.75,B17*3*0.75,B17*3*0.75,B17*3*0.75,B17*3*0.75,B17*3*0.75,B17*3*0.75,B17*3*0.75,B17*3*0.75,B17*3*0.75,B17*3*0.75)</f>
        <v>792.5421421677881</v>
      </c>
      <c r="C21" s="389">
        <f>NPV(Param!$B$38,C17*3*0.75,C17*3*0.75,C17*3*0.75,C17*3*0.75,C17*3*0.75,C17*3*0.75,C17*3*0.75,C17*3*0.75,C17*3*0.75,C17*3*0.75,C17*3*0.75,C17*3*0.75,C17*3*0.75,C17*3*0.75,C17*3*0.75,C17*3*0.75,C17*3*0.75,C17*3*0.75,C17*3*0.75,C17*3*0.75,C17*3*0.75,C17*3*0.75,C17*3*0.75,C17*3*0.75,C17*3*0.75)</f>
        <v>1585.0842843355763</v>
      </c>
      <c r="D21" s="389">
        <f>NPV(Param!$B$38,D17*3*0.75,D17*3*0.75,D17*3*0.75,D17*3*0.75,D17*3*0.75,D17*3*0.75,D17*3*0.75,D17*3*0.75,D17*3*0.75,D17*3*0.75,D17*3*0.75,D17*3*0.75,D17*3*0.75,D17*3*0.75,D17*3*0.75,D17*3*0.75,D17*3*0.75,D17*3*0.75,D17*3*0.75,D17*3*0.75,D17*3*0.75,D17*3*0.75,D17*3*0.75,D17*3*0.75,D17*3*0.75)</f>
        <v>1323.850819625099</v>
      </c>
      <c r="E21" s="389">
        <f>NPV(Param!$B$38,E17*3*0.75,E17*3*0.75,E17*3*0.75,E17*3*0.75,E17*3*0.75,E17*3*0.75,E17*3*0.75,E17*3*0.75,E17*3*0.75,E17*3*0.75,E17*3*0.75,E17*3*0.75,E17*3*0.75,E17*3*0.75,E17*3*0.75,E17*3*0.75,E17*3*0.75,E17*3*0.75,E17*3*0.75,E17*3*0.75,E17*3*0.75,E17*3*0.75,E17*3*0.75,E17*3*0.75,E17*3*0.75)</f>
        <v>2647.701639250198</v>
      </c>
      <c r="F21" s="389">
        <f>NPV(Param!$B$38,F17*3*0.75,F17*3*0.75,F17*3*0.75,F17*3*0.75,F17*3*0.75,F17*3*0.75,F17*3*0.75,F17*3*0.75,F17*3*0.75,F17*3*0.75,F17*3*0.75,F17*3*0.75,F17*3*0.75,F17*3*0.75,F17*3*0.75,F17*3*0.75,F17*3*0.75,F17*3*0.75,F17*3*0.75,F17*3*0.75,F17*3*0.75,F17*3*0.75,F17*3*0.75,F17*3*0.75,F17*3*0.75)</f>
        <v>1831.7154681981347</v>
      </c>
      <c r="G21" s="389">
        <f>NPV(Param!$B$38,G17*3*0.75,G17*3*0.75,G17*3*0.75,G17*3*0.75,G17*3*0.75,G17*3*0.75,G17*3*0.75,G17*3*0.75,G17*3*0.75,G17*3*0.75,G17*3*0.75,G17*3*0.75,G17*3*0.75,G17*3*0.75,G17*3*0.75,G17*3*0.75,G17*3*0.75,G17*3*0.75,G17*3*0.75,G17*3*0.75,G17*3*0.75,G17*3*0.75,G17*3*0.75,G17*3*0.75,G17*3*0.75)</f>
        <v>3663.4309363962693</v>
      </c>
      <c r="J21" s="82"/>
      <c r="K21" s="82"/>
      <c r="L21" s="82"/>
      <c r="M21" s="82"/>
    </row>
    <row r="22" spans="1:13" ht="13.5" thickBot="1">
      <c r="A22" s="144" t="s">
        <v>360</v>
      </c>
      <c r="B22" s="382"/>
      <c r="C22" s="382"/>
      <c r="D22" s="382"/>
      <c r="E22" s="382"/>
      <c r="F22" s="382"/>
      <c r="G22" s="382"/>
      <c r="J22" s="82"/>
      <c r="K22" s="82"/>
      <c r="L22" s="82"/>
      <c r="M22" s="82"/>
    </row>
    <row r="23" spans="1:13" ht="12.75">
      <c r="A23" s="383" t="s">
        <v>49</v>
      </c>
      <c r="B23" s="374">
        <f aca="true" t="shared" si="5" ref="B23:G23">B6+B19</f>
        <v>169.4206284442447</v>
      </c>
      <c r="C23" s="374">
        <f t="shared" si="5"/>
        <v>391.25055389445896</v>
      </c>
      <c r="D23" s="374">
        <f t="shared" si="5"/>
        <v>308.0975890658455</v>
      </c>
      <c r="E23" s="374">
        <f t="shared" si="5"/>
        <v>680.1599944190856</v>
      </c>
      <c r="F23" s="374">
        <f t="shared" si="5"/>
        <v>444.78615113461564</v>
      </c>
      <c r="G23" s="375">
        <f t="shared" si="5"/>
        <v>961.1057672047265</v>
      </c>
      <c r="J23" s="82"/>
      <c r="K23" s="82"/>
      <c r="L23" s="82"/>
      <c r="M23" s="82"/>
    </row>
    <row r="24" spans="1:13" ht="12.75">
      <c r="A24" s="384" t="s">
        <v>209</v>
      </c>
      <c r="B24" s="369">
        <f aca="true" t="shared" si="6" ref="B24:G25">B7+B20</f>
        <v>355.9886065366488</v>
      </c>
      <c r="C24" s="369">
        <f t="shared" si="6"/>
        <v>768.4542586512102</v>
      </c>
      <c r="D24" s="369">
        <f t="shared" si="6"/>
        <v>622.4445620260126</v>
      </c>
      <c r="E24" s="369">
        <f t="shared" si="6"/>
        <v>1313.6416191124845</v>
      </c>
      <c r="F24" s="369">
        <f t="shared" si="6"/>
        <v>881.8181430065473</v>
      </c>
      <c r="G24" s="370">
        <f t="shared" si="6"/>
        <v>1840.3105292635043</v>
      </c>
      <c r="J24" s="82"/>
      <c r="K24" s="82"/>
      <c r="L24" s="82"/>
      <c r="M24" s="82"/>
    </row>
    <row r="25" spans="1:13" ht="13.5" thickBot="1">
      <c r="A25" s="385" t="s">
        <v>367</v>
      </c>
      <c r="B25" s="371">
        <f t="shared" si="6"/>
        <v>819.3958357325504</v>
      </c>
      <c r="C25" s="371">
        <f t="shared" si="6"/>
        <v>1698.7101191742552</v>
      </c>
      <c r="D25" s="371">
        <f t="shared" si="6"/>
        <v>1398.803026470829</v>
      </c>
      <c r="E25" s="371">
        <f t="shared" si="6"/>
        <v>2870.4090264527695</v>
      </c>
      <c r="F25" s="371">
        <f t="shared" si="6"/>
        <v>1957.7793224263505</v>
      </c>
      <c r="G25" s="373">
        <f t="shared" si="6"/>
        <v>3996.582096304231</v>
      </c>
      <c r="J25" s="82"/>
      <c r="K25" s="82"/>
      <c r="L25" s="82"/>
      <c r="M25" s="82"/>
    </row>
    <row r="26" spans="1:13" ht="12.75">
      <c r="A26" s="179" t="s">
        <v>370</v>
      </c>
      <c r="B26" s="363"/>
      <c r="C26" s="363"/>
      <c r="D26" s="363"/>
      <c r="E26" s="363"/>
      <c r="F26" s="363"/>
      <c r="G26" s="363"/>
      <c r="J26" s="82"/>
      <c r="K26" s="82"/>
      <c r="L26" s="82"/>
      <c r="M26" s="82"/>
    </row>
    <row r="27" spans="1:13" ht="12.75">
      <c r="A27" s="179" t="s">
        <v>372</v>
      </c>
      <c r="B27" s="363"/>
      <c r="C27" s="363"/>
      <c r="D27" s="363"/>
      <c r="E27" s="363"/>
      <c r="F27" s="363"/>
      <c r="G27" s="363"/>
      <c r="J27" s="82"/>
      <c r="K27" s="82"/>
      <c r="L27" s="82"/>
      <c r="M27" s="82"/>
    </row>
    <row r="28" spans="1:13" ht="12.75">
      <c r="A28" t="s">
        <v>371</v>
      </c>
      <c r="B28" s="363"/>
      <c r="C28" s="363"/>
      <c r="D28" s="363"/>
      <c r="E28" s="363"/>
      <c r="F28" s="363"/>
      <c r="G28" s="363"/>
      <c r="J28" s="82"/>
      <c r="K28" s="82"/>
      <c r="L28" s="82"/>
      <c r="M28" s="82"/>
    </row>
    <row r="52" ht="12.75">
      <c r="B52" s="71" t="s">
        <v>269</v>
      </c>
    </row>
    <row r="55" ht="12.75">
      <c r="M55" s="71" t="s">
        <v>82</v>
      </c>
    </row>
    <row r="56" ht="12.75">
      <c r="M56" s="71" t="s">
        <v>258</v>
      </c>
    </row>
    <row r="57" ht="12.75">
      <c r="M57" s="71" t="s">
        <v>123</v>
      </c>
    </row>
    <row r="58" ht="12.75">
      <c r="M58" t="s">
        <v>84</v>
      </c>
    </row>
    <row r="59" ht="12.75">
      <c r="M59" t="s">
        <v>85</v>
      </c>
    </row>
    <row r="60" ht="12.75">
      <c r="M60" t="s">
        <v>247</v>
      </c>
    </row>
    <row r="61" ht="12.75">
      <c r="M61" t="s">
        <v>86</v>
      </c>
    </row>
    <row r="62" ht="12.75">
      <c r="M62" t="s">
        <v>248</v>
      </c>
    </row>
    <row r="63" ht="12.75">
      <c r="M63" t="s">
        <v>87</v>
      </c>
    </row>
    <row r="65" spans="13:19" ht="12.75">
      <c r="M65" s="99" t="s">
        <v>83</v>
      </c>
      <c r="N65" s="77"/>
      <c r="O65" s="77"/>
      <c r="P65" s="77"/>
      <c r="Q65" s="77"/>
      <c r="R65" s="77"/>
      <c r="S65" s="77"/>
    </row>
    <row r="66" spans="13:19" ht="12.75">
      <c r="M66" s="77" t="s">
        <v>88</v>
      </c>
      <c r="N66" s="77"/>
      <c r="O66" s="77"/>
      <c r="P66" s="77"/>
      <c r="Q66" s="77"/>
      <c r="R66" s="77"/>
      <c r="S66" s="77"/>
    </row>
    <row r="67" spans="13:19" ht="12.75">
      <c r="M67" s="77" t="s">
        <v>89</v>
      </c>
      <c r="N67" s="77"/>
      <c r="O67" s="77"/>
      <c r="P67" s="77"/>
      <c r="Q67" s="77"/>
      <c r="R67" s="77"/>
      <c r="S67" s="77"/>
    </row>
    <row r="68" spans="13:16" ht="12.75">
      <c r="M68" s="82"/>
      <c r="N68" s="82"/>
      <c r="O68" s="82"/>
      <c r="P68" s="82"/>
    </row>
    <row r="77" ht="12.75">
      <c r="B77" s="71" t="s">
        <v>270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zoomScale="90" zoomScaleNormal="90" workbookViewId="0" topLeftCell="A1">
      <selection activeCell="F55" sqref="F55"/>
    </sheetView>
  </sheetViews>
  <sheetFormatPr defaultColWidth="9.140625" defaultRowHeight="12.75"/>
  <cols>
    <col min="1" max="1" width="33.7109375" style="0" customWidth="1"/>
    <col min="2" max="7" width="9.28125" style="0" bestFit="1" customWidth="1"/>
    <col min="8" max="8" width="9.57421875" style="0" customWidth="1"/>
  </cols>
  <sheetData>
    <row r="1" spans="1:6" ht="12.75">
      <c r="A1" s="72" t="s">
        <v>295</v>
      </c>
      <c r="B1" s="73"/>
      <c r="C1" s="73"/>
      <c r="D1" s="73"/>
      <c r="E1" s="82"/>
      <c r="F1" s="82"/>
    </row>
    <row r="2" spans="3:7" ht="12.75">
      <c r="C2" s="267" t="s">
        <v>76</v>
      </c>
      <c r="E2" s="267" t="s">
        <v>76</v>
      </c>
      <c r="G2" s="267" t="s">
        <v>76</v>
      </c>
    </row>
    <row r="3" spans="1:16" ht="12.75">
      <c r="A3" s="74" t="s">
        <v>52</v>
      </c>
      <c r="B3" s="98" t="s">
        <v>303</v>
      </c>
      <c r="C3" s="266">
        <f>Param!B9</f>
        <v>16</v>
      </c>
      <c r="D3" s="98" t="s">
        <v>304</v>
      </c>
      <c r="E3" s="266">
        <f>Param!C9</f>
        <v>22</v>
      </c>
      <c r="F3" s="98" t="s">
        <v>305</v>
      </c>
      <c r="G3" s="266">
        <f>Param!D9</f>
        <v>26</v>
      </c>
      <c r="J3" s="99" t="s">
        <v>83</v>
      </c>
      <c r="K3" s="77"/>
      <c r="L3" s="77"/>
      <c r="M3" s="77"/>
      <c r="N3" s="77"/>
      <c r="O3" s="77"/>
      <c r="P3" s="77"/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77" t="s">
        <v>88</v>
      </c>
      <c r="K4" s="77"/>
      <c r="L4" s="77"/>
      <c r="M4" s="77"/>
      <c r="N4" s="77"/>
      <c r="O4" s="77"/>
      <c r="P4" s="77"/>
    </row>
    <row r="5" spans="1:16" ht="13.5" thickBot="1">
      <c r="A5" s="78" t="s">
        <v>54</v>
      </c>
      <c r="C5" s="268"/>
      <c r="E5" s="268"/>
      <c r="G5" s="268"/>
      <c r="J5" s="77" t="s">
        <v>89</v>
      </c>
      <c r="K5" s="77"/>
      <c r="L5" s="77"/>
      <c r="M5" s="77"/>
      <c r="N5" s="77"/>
      <c r="O5" s="77"/>
      <c r="P5" s="77"/>
    </row>
    <row r="6" spans="1:13" ht="12.75">
      <c r="A6" s="354" t="s">
        <v>334</v>
      </c>
      <c r="B6" s="155">
        <f>1Low!$F$89</f>
        <v>-0.04018272513171066</v>
      </c>
      <c r="C6" s="355">
        <f>1High!$F$89</f>
        <v>0.0649038873459596</v>
      </c>
      <c r="D6" s="155">
        <f>2Low!$F$89</f>
        <v>0.010731242939840568</v>
      </c>
      <c r="E6" s="355">
        <f>2High!$F$89</f>
        <v>0.12102402437982358</v>
      </c>
      <c r="F6" s="155">
        <f>3Low!$F$89</f>
        <v>0.047214395767576085</v>
      </c>
      <c r="G6" s="168">
        <f>3High!$F$89</f>
        <v>0.16216223689767165</v>
      </c>
      <c r="J6" s="82"/>
      <c r="K6" s="82"/>
      <c r="L6" s="82"/>
      <c r="M6" s="82"/>
    </row>
    <row r="7" spans="1:7" ht="12.75">
      <c r="A7" s="285" t="s">
        <v>335</v>
      </c>
      <c r="B7" s="356">
        <f>1Low!$F$109</f>
        <v>0.056164816534819424</v>
      </c>
      <c r="C7" s="271">
        <f>1High!$F$109</f>
        <v>0.1287546065021607</v>
      </c>
      <c r="D7" s="356">
        <f>2Low!$F$109</f>
        <v>0.09049100220590275</v>
      </c>
      <c r="E7" s="271">
        <f>2High!$F$109</f>
        <v>0.17116249810764855</v>
      </c>
      <c r="F7" s="356">
        <f>3Low!$F$109</f>
        <v>0.11618458673599354</v>
      </c>
      <c r="G7" s="357">
        <f>3High!$F$109</f>
        <v>0.20378740028954717</v>
      </c>
    </row>
    <row r="8" spans="1:7" ht="13.5" thickBot="1">
      <c r="A8" s="287" t="s">
        <v>336</v>
      </c>
      <c r="B8" s="4">
        <f>1Low!$F$144</f>
        <v>0.07432862066277883</v>
      </c>
      <c r="C8" s="358">
        <f>1High!$F$144</f>
        <v>0.13492870661482328</v>
      </c>
      <c r="D8" s="4">
        <f>2Low!$F$144</f>
        <v>0.101607060452457</v>
      </c>
      <c r="E8" s="358">
        <f>2High!$F$144</f>
        <v>0.1743162772106869</v>
      </c>
      <c r="F8" s="4">
        <f>3Low!$F$144</f>
        <v>0.12371556388827423</v>
      </c>
      <c r="G8" s="359">
        <f>3High!$F$144</f>
        <v>0.20565303901070597</v>
      </c>
    </row>
    <row r="10" ht="12.75">
      <c r="P10" s="71" t="s">
        <v>82</v>
      </c>
    </row>
    <row r="11" ht="12.75">
      <c r="P11" s="71" t="s">
        <v>258</v>
      </c>
    </row>
    <row r="12" ht="12.75">
      <c r="P12" s="71" t="s">
        <v>123</v>
      </c>
    </row>
    <row r="13" ht="12.75">
      <c r="P13" t="s">
        <v>84</v>
      </c>
    </row>
    <row r="14" ht="12.75">
      <c r="P14" t="s">
        <v>85</v>
      </c>
    </row>
    <row r="15" ht="12.75">
      <c r="P15" t="s">
        <v>247</v>
      </c>
    </row>
    <row r="16" ht="12.75">
      <c r="P16" t="s">
        <v>86</v>
      </c>
    </row>
    <row r="17" ht="12.75">
      <c r="P17" t="s">
        <v>248</v>
      </c>
    </row>
    <row r="18" ht="12.75">
      <c r="P18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L25" sqref="L25"/>
    </sheetView>
  </sheetViews>
  <sheetFormatPr defaultColWidth="9.140625" defaultRowHeight="12.75"/>
  <cols>
    <col min="1" max="1" width="44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327</v>
      </c>
      <c r="B1" s="129"/>
      <c r="C1" s="129"/>
      <c r="D1" s="73"/>
      <c r="E1" s="73"/>
      <c r="F1" s="73"/>
      <c r="G1" s="73"/>
      <c r="H1" s="73"/>
      <c r="I1" s="73"/>
      <c r="J1" s="82"/>
    </row>
    <row r="2" spans="1:8" s="82" customFormat="1" ht="14.25" customHeight="1">
      <c r="A2" s="234" t="s">
        <v>254</v>
      </c>
      <c r="B2" s="95" t="s">
        <v>189</v>
      </c>
      <c r="C2" s="232"/>
      <c r="E2" t="s">
        <v>263</v>
      </c>
      <c r="F2"/>
      <c r="G2"/>
      <c r="H2" t="s">
        <v>264</v>
      </c>
    </row>
    <row r="3" spans="1:9" ht="12.75">
      <c r="A3" s="95"/>
      <c r="B3" s="95"/>
      <c r="C3" s="235" t="s">
        <v>76</v>
      </c>
      <c r="E3" s="235" t="s">
        <v>76</v>
      </c>
      <c r="G3" s="235" t="s">
        <v>76</v>
      </c>
      <c r="I3" s="71" t="s">
        <v>257</v>
      </c>
    </row>
    <row r="4" spans="1:9" ht="12.75">
      <c r="A4" s="105" t="s">
        <v>52</v>
      </c>
      <c r="B4" s="98" t="s">
        <v>73</v>
      </c>
      <c r="C4" s="75">
        <f>Param!B9</f>
        <v>16</v>
      </c>
      <c r="D4" s="98" t="s">
        <v>74</v>
      </c>
      <c r="E4" s="75">
        <f>Param!C9</f>
        <v>22</v>
      </c>
      <c r="F4" s="98" t="s">
        <v>75</v>
      </c>
      <c r="G4" s="75">
        <f>Param!D9</f>
        <v>26</v>
      </c>
      <c r="I4" s="71" t="s">
        <v>255</v>
      </c>
    </row>
    <row r="5" spans="1:9" ht="12.75">
      <c r="A5" s="233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t="s">
        <v>84</v>
      </c>
    </row>
    <row r="6" spans="1:9" ht="12.75">
      <c r="A6" s="350" t="s">
        <v>328</v>
      </c>
      <c r="B6" s="346">
        <f>1Low!$G$11</f>
        <v>10950000</v>
      </c>
      <c r="C6" s="346">
        <f>1High!$G$11</f>
        <v>21900000</v>
      </c>
      <c r="D6" s="346">
        <f>2Low!$G$11</f>
        <v>18478125</v>
      </c>
      <c r="E6" s="346">
        <f>2High!$G$11</f>
        <v>36956250</v>
      </c>
      <c r="F6" s="346">
        <f>3Low!$G$11</f>
        <v>25778125</v>
      </c>
      <c r="G6" s="346">
        <f>3High!$G$11</f>
        <v>51556250</v>
      </c>
      <c r="I6" t="s">
        <v>85</v>
      </c>
    </row>
    <row r="7" spans="1:9" ht="12.75">
      <c r="A7" s="351" t="s">
        <v>329</v>
      </c>
      <c r="B7" s="30">
        <f>1Low!$D$48</f>
        <v>1.0941808066666667</v>
      </c>
      <c r="C7" s="30">
        <f>1High!$D$48</f>
        <v>1.398814973333333</v>
      </c>
      <c r="D7" s="30">
        <f>2Low!$D$48</f>
        <v>1.40548699625</v>
      </c>
      <c r="E7" s="30">
        <f>2High!$D$48</f>
        <v>1.9192071524999998</v>
      </c>
      <c r="F7" s="30">
        <f>3Low!$D$48</f>
        <v>1.6761943518055555</v>
      </c>
      <c r="G7" s="30">
        <f>3High!$D$48</f>
        <v>2.392475063611111</v>
      </c>
      <c r="I7" t="s">
        <v>247</v>
      </c>
    </row>
    <row r="8" spans="1:9" ht="12.75">
      <c r="A8" s="350" t="s">
        <v>332</v>
      </c>
      <c r="B8" s="30">
        <f>1High!$I$66</f>
        <v>3.3852509349451423</v>
      </c>
      <c r="C8" s="30">
        <f>1Low!$I$66</f>
        <v>3.1140219454621136</v>
      </c>
      <c r="D8" s="30">
        <f>2High!$I$66</f>
        <v>4.298740484774358</v>
      </c>
      <c r="E8" s="30">
        <f>2Low!$I$66</f>
        <v>3.8918970005498146</v>
      </c>
      <c r="F8" s="30">
        <f>3High!$I$66</f>
        <v>4.934856416942138</v>
      </c>
      <c r="G8" s="30">
        <f>3Low!$I$66</f>
        <v>4.424041820082434</v>
      </c>
      <c r="I8" t="s">
        <v>86</v>
      </c>
    </row>
    <row r="9" spans="1:9" ht="13.5" thickBot="1">
      <c r="A9" s="353" t="s">
        <v>330</v>
      </c>
      <c r="B9" s="2">
        <f aca="true" t="shared" si="0" ref="B9:G9">SUM(B7:B8)</f>
        <v>4.479431741611809</v>
      </c>
      <c r="C9" s="2">
        <f t="shared" si="0"/>
        <v>4.512836918795447</v>
      </c>
      <c r="D9" s="2">
        <f t="shared" si="0"/>
        <v>5.704227481024358</v>
      </c>
      <c r="E9" s="2">
        <f t="shared" si="0"/>
        <v>5.811104153049815</v>
      </c>
      <c r="F9" s="2">
        <f t="shared" si="0"/>
        <v>6.611050768747694</v>
      </c>
      <c r="G9" s="2">
        <f t="shared" si="0"/>
        <v>6.816516883693545</v>
      </c>
      <c r="I9" t="s">
        <v>248</v>
      </c>
    </row>
    <row r="10" spans="1:9" ht="12.75">
      <c r="A10" s="328" t="s">
        <v>331</v>
      </c>
      <c r="B10" s="347">
        <f aca="true" t="shared" si="1" ref="B10:G10">B7/B6*1000000</f>
        <v>0.09992518782343988</v>
      </c>
      <c r="C10" s="347">
        <f t="shared" si="1"/>
        <v>0.0638728298325723</v>
      </c>
      <c r="D10" s="347">
        <f t="shared" si="1"/>
        <v>0.07606220848976832</v>
      </c>
      <c r="E10" s="347">
        <f t="shared" si="1"/>
        <v>0.05193186950786403</v>
      </c>
      <c r="F10" s="347">
        <f t="shared" si="1"/>
        <v>0.0650239050282189</v>
      </c>
      <c r="G10" s="348">
        <f t="shared" si="1"/>
        <v>0.04640514125079134</v>
      </c>
      <c r="I10" t="s">
        <v>87</v>
      </c>
    </row>
    <row r="11" spans="1:7" ht="12.75">
      <c r="A11" s="203" t="s">
        <v>338</v>
      </c>
      <c r="B11" s="96">
        <f aca="true" t="shared" si="2" ref="B11:G11">B8/B6*1000000</f>
        <v>0.30915533652467053</v>
      </c>
      <c r="C11" s="96">
        <f t="shared" si="2"/>
        <v>0.1421927828978134</v>
      </c>
      <c r="D11" s="96">
        <f t="shared" si="2"/>
        <v>0.23263943093654565</v>
      </c>
      <c r="E11" s="96">
        <f t="shared" si="2"/>
        <v>0.10531092847758673</v>
      </c>
      <c r="F11" s="96">
        <f t="shared" si="2"/>
        <v>0.19143581687737715</v>
      </c>
      <c r="G11" s="352">
        <f t="shared" si="2"/>
        <v>0.08581000014707109</v>
      </c>
    </row>
    <row r="12" spans="1:15" ht="13.5" thickBot="1">
      <c r="A12" s="196" t="s">
        <v>333</v>
      </c>
      <c r="B12" s="143">
        <f aca="true" t="shared" si="3" ref="B12:G12">B9/B6*1000000</f>
        <v>0.40908052434811043</v>
      </c>
      <c r="C12" s="143">
        <f t="shared" si="3"/>
        <v>0.2060656127303857</v>
      </c>
      <c r="D12" s="143">
        <f t="shared" si="3"/>
        <v>0.30870163942631396</v>
      </c>
      <c r="E12" s="143">
        <f t="shared" si="3"/>
        <v>0.15724279798545077</v>
      </c>
      <c r="F12" s="143">
        <f t="shared" si="3"/>
        <v>0.25645972190559607</v>
      </c>
      <c r="G12" s="349">
        <f t="shared" si="3"/>
        <v>0.13221514139786245</v>
      </c>
      <c r="I12" s="99" t="s">
        <v>83</v>
      </c>
      <c r="J12" s="77"/>
      <c r="K12" s="77"/>
      <c r="L12" s="77"/>
      <c r="M12" s="77"/>
      <c r="N12" s="77"/>
      <c r="O12" s="77"/>
    </row>
    <row r="13" spans="2:15" ht="12.75">
      <c r="B13" s="30"/>
      <c r="C13" s="30"/>
      <c r="D13" s="30"/>
      <c r="E13" s="30"/>
      <c r="F13" s="30"/>
      <c r="G13" s="30"/>
      <c r="I13" s="77" t="s">
        <v>249</v>
      </c>
      <c r="J13" s="77"/>
      <c r="K13" s="77"/>
      <c r="L13" s="77"/>
      <c r="M13" s="77"/>
      <c r="N13" s="77"/>
      <c r="O13" s="82"/>
    </row>
    <row r="14" spans="1:15" ht="12.75">
      <c r="A14" s="24"/>
      <c r="B14" s="30"/>
      <c r="C14" s="30"/>
      <c r="D14" s="30"/>
      <c r="E14" s="30"/>
      <c r="F14" s="30"/>
      <c r="G14" s="30"/>
      <c r="I14" s="77" t="s">
        <v>89</v>
      </c>
      <c r="J14" s="77"/>
      <c r="K14" s="77"/>
      <c r="L14" s="77"/>
      <c r="M14" s="77"/>
      <c r="N14" s="77"/>
      <c r="O14" s="77"/>
    </row>
    <row r="15" spans="1:12" ht="12.75">
      <c r="A15" s="32"/>
      <c r="B15" s="30"/>
      <c r="C15" s="30"/>
      <c r="D15" s="30"/>
      <c r="E15" s="30"/>
      <c r="F15" s="30"/>
      <c r="G15" s="30"/>
      <c r="I15" s="82"/>
      <c r="J15" s="82"/>
      <c r="K15" s="82"/>
      <c r="L15" s="82"/>
    </row>
    <row r="16" spans="1:7" ht="12.75">
      <c r="A16" s="24"/>
      <c r="B16" s="30"/>
      <c r="C16" s="30"/>
      <c r="D16" s="30"/>
      <c r="E16" s="30"/>
      <c r="F16" s="30"/>
      <c r="G16" s="30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J5" sqref="J5:P6"/>
    </sheetView>
  </sheetViews>
  <sheetFormatPr defaultColWidth="9.140625" defaultRowHeight="12.75"/>
  <cols>
    <col min="1" max="1" width="20.57421875" style="0" customWidth="1"/>
    <col min="2" max="7" width="9.28125" style="0" customWidth="1"/>
  </cols>
  <sheetData>
    <row r="1" spans="1:11" ht="12.75">
      <c r="A1" s="72" t="s">
        <v>217</v>
      </c>
      <c r="B1" s="73"/>
      <c r="C1" s="73"/>
      <c r="D1" s="73"/>
      <c r="E1" s="73"/>
      <c r="F1" s="73"/>
      <c r="G1" s="73"/>
      <c r="H1" s="73"/>
      <c r="I1" s="73"/>
      <c r="J1" s="73"/>
      <c r="K1" s="82"/>
    </row>
    <row r="2" spans="1:7" ht="12.75">
      <c r="A2" s="71"/>
      <c r="C2" s="267" t="s">
        <v>76</v>
      </c>
      <c r="E2" s="267" t="s">
        <v>76</v>
      </c>
      <c r="G2" s="267" t="s">
        <v>76</v>
      </c>
    </row>
    <row r="3" spans="1:16" ht="12.75">
      <c r="A3" s="74" t="s">
        <v>52</v>
      </c>
      <c r="B3" s="98" t="s">
        <v>303</v>
      </c>
      <c r="C3" s="266">
        <f>Param!B9</f>
        <v>16</v>
      </c>
      <c r="D3" s="98" t="s">
        <v>304</v>
      </c>
      <c r="E3" s="266">
        <f>Param!C9</f>
        <v>22</v>
      </c>
      <c r="F3" s="98" t="s">
        <v>305</v>
      </c>
      <c r="G3" s="266">
        <f>Param!D9</f>
        <v>26</v>
      </c>
      <c r="J3" s="99" t="s">
        <v>83</v>
      </c>
      <c r="K3" s="77"/>
      <c r="L3" s="77"/>
      <c r="M3" s="77"/>
      <c r="N3" s="77"/>
      <c r="O3" s="77"/>
      <c r="P3" s="77"/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77" t="s">
        <v>88</v>
      </c>
      <c r="K4" s="77"/>
      <c r="L4" s="77"/>
      <c r="M4" s="77"/>
      <c r="N4" s="77"/>
      <c r="O4" s="82"/>
      <c r="P4" s="82"/>
    </row>
    <row r="5" spans="1:16" ht="12.75">
      <c r="A5" s="78" t="s">
        <v>54</v>
      </c>
      <c r="B5" s="82"/>
      <c r="C5" s="272"/>
      <c r="D5" s="82"/>
      <c r="E5" s="272"/>
      <c r="F5" s="82"/>
      <c r="G5" s="272"/>
      <c r="J5" s="77" t="s">
        <v>89</v>
      </c>
      <c r="K5" s="77"/>
      <c r="L5" s="77"/>
      <c r="M5" s="77"/>
      <c r="N5" s="77"/>
      <c r="O5" s="77"/>
      <c r="P5" s="77"/>
    </row>
    <row r="6" spans="1:13" ht="12.75">
      <c r="A6" s="79" t="s">
        <v>49</v>
      </c>
      <c r="B6" s="240">
        <f>1Low!I78</f>
        <v>0.5819824808627537</v>
      </c>
      <c r="C6" s="273">
        <f>1High!I78</f>
        <v>0.32382216585049234</v>
      </c>
      <c r="D6" s="240">
        <f>2Low!I78</f>
        <v>0.4332541386808369</v>
      </c>
      <c r="E6" s="273">
        <f>2High!I78</f>
        <v>0.24640624337050604</v>
      </c>
      <c r="F6" s="240">
        <f>3Low!I78</f>
        <v>0.35517498387088725</v>
      </c>
      <c r="G6" s="273">
        <f>3High!I78</f>
        <v>0.20537624856252248</v>
      </c>
      <c r="J6" s="82"/>
      <c r="K6" s="82"/>
      <c r="L6" s="82"/>
      <c r="M6" s="82"/>
    </row>
    <row r="7" spans="1:7" ht="12.75">
      <c r="A7" s="79" t="s">
        <v>209</v>
      </c>
      <c r="B7" s="240">
        <f>1Low!I69</f>
        <v>0.2723365167326482</v>
      </c>
      <c r="C7" s="273">
        <f>1High!I69</f>
        <v>0.15551421749114402</v>
      </c>
      <c r="D7" s="240">
        <f>2Low!I69</f>
        <v>0.20392390603947</v>
      </c>
      <c r="E7" s="273">
        <f>2High!I69</f>
        <v>0.11975449034378215</v>
      </c>
      <c r="F7" s="240">
        <f>3Low!I69</f>
        <v>0.16831092729890693</v>
      </c>
      <c r="G7" s="273">
        <f>3High!I69</f>
        <v>0.10115624724109587</v>
      </c>
    </row>
    <row r="8" spans="1:7" ht="12.75">
      <c r="A8" s="79" t="s">
        <v>210</v>
      </c>
      <c r="B8" s="240">
        <f>1Low!I59</f>
        <v>0.06920396973577188</v>
      </c>
      <c r="C8" s="273">
        <f>1High!I59</f>
        <v>0.04510159730376168</v>
      </c>
      <c r="D8" s="240">
        <f>2Low!I59</f>
        <v>0.0534797225000604</v>
      </c>
      <c r="E8" s="273">
        <f>2High!I59</f>
        <v>0.03666897929501582</v>
      </c>
      <c r="F8" s="240">
        <f>3Low!I59</f>
        <v>0.04572521280309109</v>
      </c>
      <c r="G8" s="273">
        <f>3High!I59</f>
        <v>0.03278631264203261</v>
      </c>
    </row>
    <row r="10" ht="12.75">
      <c r="L10" s="71" t="s">
        <v>82</v>
      </c>
    </row>
    <row r="11" ht="12.75">
      <c r="L11" s="71" t="s">
        <v>258</v>
      </c>
    </row>
    <row r="12" ht="12.75">
      <c r="L12" s="71" t="s">
        <v>123</v>
      </c>
    </row>
    <row r="13" ht="12.75">
      <c r="L13" t="s">
        <v>84</v>
      </c>
    </row>
    <row r="14" ht="12.75">
      <c r="L14" t="s">
        <v>85</v>
      </c>
    </row>
    <row r="15" ht="12.75">
      <c r="L15" t="s">
        <v>247</v>
      </c>
    </row>
    <row r="16" ht="12.75">
      <c r="L16" t="s">
        <v>86</v>
      </c>
    </row>
    <row r="17" ht="12.75">
      <c r="L17" t="s">
        <v>248</v>
      </c>
    </row>
    <row r="18" ht="12.75">
      <c r="L18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M50" sqref="H50:M51"/>
    </sheetView>
  </sheetViews>
  <sheetFormatPr defaultColWidth="9.140625" defaultRowHeight="12.75"/>
  <cols>
    <col min="1" max="1" width="20.421875" style="0" customWidth="1"/>
    <col min="2" max="7" width="9.28125" style="0" customWidth="1"/>
    <col min="9" max="9" width="9.28125" style="0" customWidth="1"/>
    <col min="10" max="10" width="20.421875" style="0" customWidth="1"/>
    <col min="11" max="16" width="10.140625" style="0" customWidth="1"/>
  </cols>
  <sheetData>
    <row r="1" ht="13.5" thickBot="1"/>
    <row r="2" spans="1:16" ht="12.75">
      <c r="A2" s="275" t="s">
        <v>306</v>
      </c>
      <c r="B2" s="276"/>
      <c r="C2" s="276"/>
      <c r="D2" s="276"/>
      <c r="E2" s="276"/>
      <c r="F2" s="276"/>
      <c r="G2" s="277"/>
      <c r="H2" s="95"/>
      <c r="I2" s="82"/>
      <c r="J2" s="275" t="s">
        <v>307</v>
      </c>
      <c r="K2" s="276"/>
      <c r="L2" s="276"/>
      <c r="M2" s="276"/>
      <c r="N2" s="276"/>
      <c r="O2" s="276"/>
      <c r="P2" s="277"/>
    </row>
    <row r="3" spans="1:16" ht="12.75">
      <c r="A3" s="278"/>
      <c r="B3" s="109"/>
      <c r="C3" s="267" t="s">
        <v>76</v>
      </c>
      <c r="D3" s="109"/>
      <c r="E3" s="267" t="s">
        <v>76</v>
      </c>
      <c r="F3" s="109"/>
      <c r="G3" s="279" t="s">
        <v>76</v>
      </c>
      <c r="J3" s="278"/>
      <c r="K3" s="109"/>
      <c r="L3" s="267" t="s">
        <v>76</v>
      </c>
      <c r="M3" s="109"/>
      <c r="N3" s="267" t="s">
        <v>76</v>
      </c>
      <c r="O3" s="109"/>
      <c r="P3" s="279" t="s">
        <v>76</v>
      </c>
    </row>
    <row r="4" spans="1:16" ht="12.75">
      <c r="A4" s="177" t="s">
        <v>52</v>
      </c>
      <c r="B4" s="280" t="s">
        <v>303</v>
      </c>
      <c r="C4" s="266">
        <f>Param!$B$9</f>
        <v>16</v>
      </c>
      <c r="D4" s="280" t="s">
        <v>304</v>
      </c>
      <c r="E4" s="266">
        <f>Param!$C$9</f>
        <v>22</v>
      </c>
      <c r="F4" s="280" t="s">
        <v>305</v>
      </c>
      <c r="G4" s="281">
        <f>Param!$D$9</f>
        <v>26</v>
      </c>
      <c r="J4" s="177" t="s">
        <v>52</v>
      </c>
      <c r="K4" s="280" t="s">
        <v>303</v>
      </c>
      <c r="L4" s="266">
        <f>Param!$B$9</f>
        <v>16</v>
      </c>
      <c r="M4" s="280" t="s">
        <v>304</v>
      </c>
      <c r="N4" s="266">
        <f>Param!$C$9</f>
        <v>22</v>
      </c>
      <c r="O4" s="280" t="s">
        <v>305</v>
      </c>
      <c r="P4" s="281">
        <f>Param!$D$9</f>
        <v>26</v>
      </c>
    </row>
    <row r="5" spans="1:16" ht="12.75">
      <c r="A5" s="282" t="s">
        <v>53</v>
      </c>
      <c r="B5" s="99" t="s">
        <v>50</v>
      </c>
      <c r="C5" s="76" t="s">
        <v>51</v>
      </c>
      <c r="D5" s="99" t="s">
        <v>50</v>
      </c>
      <c r="E5" s="76" t="s">
        <v>51</v>
      </c>
      <c r="F5" s="99" t="s">
        <v>50</v>
      </c>
      <c r="G5" s="283" t="s">
        <v>51</v>
      </c>
      <c r="J5" s="282" t="s">
        <v>53</v>
      </c>
      <c r="K5" s="99" t="s">
        <v>50</v>
      </c>
      <c r="L5" s="76" t="s">
        <v>51</v>
      </c>
      <c r="M5" s="99" t="s">
        <v>50</v>
      </c>
      <c r="N5" s="76" t="s">
        <v>51</v>
      </c>
      <c r="O5" s="99" t="s">
        <v>50</v>
      </c>
      <c r="P5" s="283" t="s">
        <v>51</v>
      </c>
    </row>
    <row r="6" spans="1:16" ht="12.75">
      <c r="A6" s="284" t="s">
        <v>54</v>
      </c>
      <c r="B6" s="179"/>
      <c r="C6" s="272"/>
      <c r="D6" s="179"/>
      <c r="E6" s="272"/>
      <c r="F6" s="179"/>
      <c r="G6" s="180"/>
      <c r="J6" s="284" t="s">
        <v>54</v>
      </c>
      <c r="K6" s="179"/>
      <c r="L6" s="272"/>
      <c r="M6" s="179"/>
      <c r="N6" s="272"/>
      <c r="O6" s="179"/>
      <c r="P6" s="180"/>
    </row>
    <row r="7" spans="1:16" ht="12.75">
      <c r="A7" s="285" t="s">
        <v>49</v>
      </c>
      <c r="B7" s="274">
        <f>1Low!$G$78</f>
        <v>8.921791431626014</v>
      </c>
      <c r="C7" s="273">
        <f>1High!$G$78</f>
        <v>9.928387604976095</v>
      </c>
      <c r="D7" s="274">
        <f>2Low!$G$78</f>
        <v>11.208013783836575</v>
      </c>
      <c r="E7" s="273">
        <f>2High!$G$78</f>
        <v>12.74875102418577</v>
      </c>
      <c r="F7" s="274">
        <f>3Low!$G$78</f>
        <v>12.818043183535401</v>
      </c>
      <c r="G7" s="286">
        <f>3High!$G$78</f>
        <v>14.82380090093217</v>
      </c>
      <c r="J7" s="285" t="s">
        <v>49</v>
      </c>
      <c r="K7" s="274">
        <f>1Low!$G$78/L4</f>
        <v>0.5576119644766259</v>
      </c>
      <c r="L7" s="273">
        <f>1High!$G$78/L4</f>
        <v>0.6205242253110059</v>
      </c>
      <c r="M7" s="274">
        <f>2Low!$G$78/N4</f>
        <v>0.5094551719925716</v>
      </c>
      <c r="N7" s="273">
        <f>2High!$G$78/N4</f>
        <v>0.579488682917535</v>
      </c>
      <c r="O7" s="274">
        <f>3Low!$G$78/P4</f>
        <v>0.49300166090520775</v>
      </c>
      <c r="P7" s="286">
        <f>3High!$G$78/P4</f>
        <v>0.5701461884973912</v>
      </c>
    </row>
    <row r="8" spans="1:16" ht="12.75">
      <c r="A8" s="285" t="s">
        <v>209</v>
      </c>
      <c r="B8" s="274">
        <f>1Low!$G$69</f>
        <v>4.174918801511496</v>
      </c>
      <c r="C8" s="273">
        <f>1High!$G$69</f>
        <v>4.7680659082784755</v>
      </c>
      <c r="D8" s="274">
        <f>2Low!$G$69</f>
        <v>5.275383996799815</v>
      </c>
      <c r="E8" s="273">
        <f>2High!$G$69</f>
        <v>6.195947637274358</v>
      </c>
      <c r="F8" s="274">
        <f>3Low!$G$69</f>
        <v>6.074236171887989</v>
      </c>
      <c r="G8" s="286">
        <f>3High!$G$69</f>
        <v>7.301331480553249</v>
      </c>
      <c r="J8" s="285" t="s">
        <v>209</v>
      </c>
      <c r="K8" s="274">
        <f>1Low!$G$69/L4</f>
        <v>0.2609324250944685</v>
      </c>
      <c r="L8" s="273">
        <f>1High!$G$69/L4</f>
        <v>0.2980041192674047</v>
      </c>
      <c r="M8" s="274">
        <f>2Low!$G$69/N4</f>
        <v>0.23979018167271884</v>
      </c>
      <c r="N8" s="273">
        <f>2High!$G$69/N4</f>
        <v>0.2816339835124708</v>
      </c>
      <c r="O8" s="274">
        <f>3Low!$G$69/P4</f>
        <v>0.23362446814953805</v>
      </c>
      <c r="P8" s="286">
        <f>3High!$G$69/P4</f>
        <v>0.28082044155974034</v>
      </c>
    </row>
    <row r="9" spans="1:16" ht="13.5" thickBot="1">
      <c r="A9" s="287" t="s">
        <v>210</v>
      </c>
      <c r="B9" s="288">
        <f>1Low!$G$59</f>
        <v>1.0608968560493828</v>
      </c>
      <c r="C9" s="289">
        <f>1High!$G$59</f>
        <v>1.382814973333333</v>
      </c>
      <c r="D9" s="288">
        <f>2Low!$G$59</f>
        <v>1.38348699625</v>
      </c>
      <c r="E9" s="289">
        <f>2High!$G$59</f>
        <v>1.8972071524999998</v>
      </c>
      <c r="F9" s="288">
        <f>3Low!$G$59</f>
        <v>1.6501943518055555</v>
      </c>
      <c r="G9" s="290">
        <f>3High!$G$59</f>
        <v>2.3664750636111114</v>
      </c>
      <c r="J9" s="287" t="s">
        <v>210</v>
      </c>
      <c r="K9" s="288">
        <f>1Low!$G$59/L4</f>
        <v>0.06630605350308642</v>
      </c>
      <c r="L9" s="289">
        <f>1High!$G$59/L4</f>
        <v>0.08642593583333331</v>
      </c>
      <c r="M9" s="288">
        <f>2Low!$G$59/N4</f>
        <v>0.06288577255681818</v>
      </c>
      <c r="N9" s="289">
        <f>2High!$G$59/N4</f>
        <v>0.08623668875</v>
      </c>
      <c r="O9" s="288">
        <f>3Low!$G$59/P4</f>
        <v>0.0634690135309829</v>
      </c>
      <c r="P9" s="290">
        <f>3High!$G$59/P4</f>
        <v>0.09101827167735044</v>
      </c>
    </row>
    <row r="10" spans="1:16" ht="13.5" thickBot="1">
      <c r="A10" s="297" t="s">
        <v>308</v>
      </c>
      <c r="B10" s="294">
        <f>Param!$G$24</f>
        <v>1875</v>
      </c>
      <c r="C10" s="296">
        <f>Param!$G$25</f>
        <v>3750</v>
      </c>
      <c r="D10" s="294">
        <f>Param!$H$24</f>
        <v>2301.1363636363635</v>
      </c>
      <c r="E10" s="296">
        <f>Param!$H$25</f>
        <v>4602.272727272727</v>
      </c>
      <c r="F10" s="206">
        <f>Param!$I$24</f>
        <v>2716.346153846154</v>
      </c>
      <c r="G10" s="295">
        <f>Param!$I$25</f>
        <v>5432.692307692308</v>
      </c>
      <c r="J10" s="297" t="s">
        <v>308</v>
      </c>
      <c r="K10" s="294">
        <f>Param!$G$24</f>
        <v>1875</v>
      </c>
      <c r="L10" s="296">
        <f>Param!$G$25</f>
        <v>3750</v>
      </c>
      <c r="M10" s="294">
        <f>Param!$H$24</f>
        <v>2301.1363636363635</v>
      </c>
      <c r="N10" s="296">
        <f>Param!$H$25</f>
        <v>4602.272727272727</v>
      </c>
      <c r="O10" s="206">
        <f>Param!$I$24</f>
        <v>2716.346153846154</v>
      </c>
      <c r="P10" s="295">
        <f>Param!$I$25</f>
        <v>5432.692307692308</v>
      </c>
    </row>
    <row r="11" spans="1:10" ht="12.75">
      <c r="A11" s="291" t="s">
        <v>319</v>
      </c>
      <c r="I11" s="109"/>
      <c r="J11" s="298" t="s">
        <v>319</v>
      </c>
    </row>
    <row r="47" ht="12.75">
      <c r="G47" s="82"/>
    </row>
    <row r="48" spans="2:13" ht="12.75">
      <c r="B48" s="71" t="s">
        <v>82</v>
      </c>
      <c r="G48" s="82"/>
      <c r="H48" s="99" t="s">
        <v>83</v>
      </c>
      <c r="I48" s="77"/>
      <c r="J48" s="77"/>
      <c r="K48" s="77"/>
      <c r="L48" s="77"/>
      <c r="M48" s="77"/>
    </row>
    <row r="49" spans="2:13" ht="12.75">
      <c r="B49" s="71" t="s">
        <v>258</v>
      </c>
      <c r="G49" s="82"/>
      <c r="H49" s="77" t="s">
        <v>88</v>
      </c>
      <c r="I49" s="77"/>
      <c r="J49" s="77"/>
      <c r="K49" s="77"/>
      <c r="L49" s="77"/>
      <c r="M49" s="77"/>
    </row>
    <row r="50" spans="2:14" ht="12.75">
      <c r="B50" s="71" t="s">
        <v>123</v>
      </c>
      <c r="H50" s="77" t="s">
        <v>89</v>
      </c>
      <c r="I50" s="77"/>
      <c r="J50" s="77"/>
      <c r="K50" s="77"/>
      <c r="L50" s="77"/>
      <c r="M50" s="77"/>
      <c r="N50" s="82"/>
    </row>
    <row r="51" spans="2:11" ht="12.75">
      <c r="B51" t="s">
        <v>84</v>
      </c>
      <c r="H51" s="82"/>
      <c r="I51" s="82"/>
      <c r="J51" s="82"/>
      <c r="K51" s="82"/>
    </row>
    <row r="52" ht="12.75">
      <c r="B52" t="s">
        <v>85</v>
      </c>
    </row>
    <row r="53" ht="12.75">
      <c r="B53" t="s">
        <v>247</v>
      </c>
    </row>
    <row r="54" ht="12.75">
      <c r="B54" t="s">
        <v>86</v>
      </c>
    </row>
    <row r="55" ht="12.75">
      <c r="B55" t="s">
        <v>248</v>
      </c>
    </row>
    <row r="56" ht="12.75">
      <c r="B56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4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7" width="8.57421875" style="0" customWidth="1"/>
    <col min="9" max="9" width="9.28125" style="0" customWidth="1"/>
    <col min="10" max="10" width="20.421875" style="0" customWidth="1"/>
  </cols>
  <sheetData>
    <row r="1" ht="13.5" thickBot="1"/>
    <row r="2" spans="1:16" ht="12.75">
      <c r="A2" s="275" t="s">
        <v>306</v>
      </c>
      <c r="B2" s="276"/>
      <c r="C2" s="276"/>
      <c r="D2" s="276"/>
      <c r="E2" s="276"/>
      <c r="F2" s="276"/>
      <c r="G2" s="277"/>
      <c r="H2" s="95"/>
      <c r="I2" s="82"/>
      <c r="J2" s="275" t="s">
        <v>307</v>
      </c>
      <c r="K2" s="276"/>
      <c r="L2" s="276"/>
      <c r="M2" s="276"/>
      <c r="N2" s="276"/>
      <c r="O2" s="276"/>
      <c r="P2" s="277"/>
    </row>
    <row r="3" spans="1:16" ht="12.75">
      <c r="A3" s="318"/>
      <c r="B3" s="109"/>
      <c r="C3" s="267" t="s">
        <v>76</v>
      </c>
      <c r="D3" s="109"/>
      <c r="E3" s="267" t="s">
        <v>76</v>
      </c>
      <c r="F3" s="109"/>
      <c r="G3" s="279" t="s">
        <v>76</v>
      </c>
      <c r="J3" s="318"/>
      <c r="K3" s="109"/>
      <c r="L3" s="267" t="s">
        <v>76</v>
      </c>
      <c r="M3" s="109"/>
      <c r="N3" s="267" t="s">
        <v>76</v>
      </c>
      <c r="O3" s="109"/>
      <c r="P3" s="279" t="s">
        <v>76</v>
      </c>
    </row>
    <row r="4" spans="1:16" ht="12.75">
      <c r="A4" s="177" t="s">
        <v>52</v>
      </c>
      <c r="B4" s="280" t="s">
        <v>303</v>
      </c>
      <c r="C4" s="266">
        <f>Param!$B$9</f>
        <v>16</v>
      </c>
      <c r="D4" s="280" t="s">
        <v>304</v>
      </c>
      <c r="E4" s="266">
        <f>Param!$C$9</f>
        <v>22</v>
      </c>
      <c r="F4" s="280" t="s">
        <v>305</v>
      </c>
      <c r="G4" s="281">
        <f>Param!$D$9</f>
        <v>26</v>
      </c>
      <c r="J4" s="177" t="s">
        <v>52</v>
      </c>
      <c r="K4" s="280" t="s">
        <v>303</v>
      </c>
      <c r="L4" s="266">
        <f>Param!$B$9</f>
        <v>16</v>
      </c>
      <c r="M4" s="280" t="s">
        <v>304</v>
      </c>
      <c r="N4" s="266">
        <f>Param!$C$9</f>
        <v>22</v>
      </c>
      <c r="O4" s="280" t="s">
        <v>305</v>
      </c>
      <c r="P4" s="281">
        <f>Param!$D$9</f>
        <v>26</v>
      </c>
    </row>
    <row r="5" spans="1:16" ht="12.75">
      <c r="A5" s="282" t="s">
        <v>53</v>
      </c>
      <c r="B5" s="99" t="s">
        <v>50</v>
      </c>
      <c r="C5" s="76" t="s">
        <v>51</v>
      </c>
      <c r="D5" s="99" t="s">
        <v>50</v>
      </c>
      <c r="E5" s="76" t="s">
        <v>51</v>
      </c>
      <c r="F5" s="99" t="s">
        <v>50</v>
      </c>
      <c r="G5" s="283" t="s">
        <v>51</v>
      </c>
      <c r="J5" s="282" t="s">
        <v>53</v>
      </c>
      <c r="K5" s="99" t="s">
        <v>50</v>
      </c>
      <c r="L5" s="76" t="s">
        <v>51</v>
      </c>
      <c r="M5" s="99" t="s">
        <v>50</v>
      </c>
      <c r="N5" s="76" t="s">
        <v>51</v>
      </c>
      <c r="O5" s="99" t="s">
        <v>50</v>
      </c>
      <c r="P5" s="283" t="s">
        <v>51</v>
      </c>
    </row>
    <row r="6" spans="1:16" ht="12.75">
      <c r="A6" s="284" t="s">
        <v>54</v>
      </c>
      <c r="B6" s="179"/>
      <c r="C6" s="272"/>
      <c r="D6" s="179"/>
      <c r="E6" s="272"/>
      <c r="F6" s="179"/>
      <c r="G6" s="180"/>
      <c r="J6" s="284" t="s">
        <v>54</v>
      </c>
      <c r="K6" s="179"/>
      <c r="L6" s="272"/>
      <c r="M6" s="179"/>
      <c r="N6" s="272"/>
      <c r="O6" s="179"/>
      <c r="P6" s="180"/>
    </row>
    <row r="7" spans="1:16" ht="12.75">
      <c r="A7" s="285" t="s">
        <v>49</v>
      </c>
      <c r="B7" s="300">
        <f>1Low!$G$78</f>
        <v>8.921791431626014</v>
      </c>
      <c r="C7" s="301">
        <f>1High!$G$78</f>
        <v>9.928387604976095</v>
      </c>
      <c r="D7" s="300">
        <f>2Low!$G$78</f>
        <v>11.208013783836575</v>
      </c>
      <c r="E7" s="301">
        <f>2High!$G$78</f>
        <v>12.74875102418577</v>
      </c>
      <c r="F7" s="300">
        <f>3Low!$G$78</f>
        <v>12.818043183535401</v>
      </c>
      <c r="G7" s="302">
        <f>3High!$G$78</f>
        <v>14.82380090093217</v>
      </c>
      <c r="J7" s="285" t="s">
        <v>49</v>
      </c>
      <c r="K7" s="274">
        <f>1Low!$G$78/L4</f>
        <v>0.5576119644766259</v>
      </c>
      <c r="L7" s="273">
        <f>1High!$G$78/L4</f>
        <v>0.6205242253110059</v>
      </c>
      <c r="M7" s="274">
        <f>2Low!$G$78/N4</f>
        <v>0.5094551719925716</v>
      </c>
      <c r="N7" s="273">
        <f>2High!$G$78/N4</f>
        <v>0.579488682917535</v>
      </c>
      <c r="O7" s="274">
        <f>3Low!$G$78/P4</f>
        <v>0.49300166090520775</v>
      </c>
      <c r="P7" s="286">
        <f>3High!$G$78/P4</f>
        <v>0.5701461884973912</v>
      </c>
    </row>
    <row r="8" spans="1:16" ht="12.75">
      <c r="A8" s="285" t="s">
        <v>209</v>
      </c>
      <c r="B8" s="300">
        <f>1Low!$G$69</f>
        <v>4.174918801511496</v>
      </c>
      <c r="C8" s="301">
        <f>1High!$G$69</f>
        <v>4.7680659082784755</v>
      </c>
      <c r="D8" s="300">
        <f>2Low!$G$69</f>
        <v>5.275383996799815</v>
      </c>
      <c r="E8" s="301">
        <f>2High!$G$69</f>
        <v>6.195947637274358</v>
      </c>
      <c r="F8" s="300">
        <f>3Low!$G$69</f>
        <v>6.074236171887989</v>
      </c>
      <c r="G8" s="302">
        <f>3High!$G$69</f>
        <v>7.301331480553249</v>
      </c>
      <c r="J8" s="285" t="s">
        <v>209</v>
      </c>
      <c r="K8" s="274">
        <f>1Low!$G$69/L4</f>
        <v>0.2609324250944685</v>
      </c>
      <c r="L8" s="273">
        <f>1High!$G$69/L4</f>
        <v>0.2980041192674047</v>
      </c>
      <c r="M8" s="274">
        <f>2Low!$G$69/N4</f>
        <v>0.23979018167271884</v>
      </c>
      <c r="N8" s="273">
        <f>2High!$G$69/N4</f>
        <v>0.2816339835124708</v>
      </c>
      <c r="O8" s="274">
        <f>3Low!$G$69/P4</f>
        <v>0.23362446814953805</v>
      </c>
      <c r="P8" s="286">
        <f>3High!$G$69/P4</f>
        <v>0.28082044155974034</v>
      </c>
    </row>
    <row r="9" spans="1:16" ht="13.5" thickBot="1">
      <c r="A9" s="285" t="s">
        <v>210</v>
      </c>
      <c r="B9" s="300">
        <f>1Low!$G$59</f>
        <v>1.0608968560493828</v>
      </c>
      <c r="C9" s="301">
        <f>1High!$G$59</f>
        <v>1.382814973333333</v>
      </c>
      <c r="D9" s="300">
        <f>2Low!$G$59</f>
        <v>1.38348699625</v>
      </c>
      <c r="E9" s="301">
        <f>2High!$G$59</f>
        <v>1.8972071524999998</v>
      </c>
      <c r="F9" s="300">
        <f>3Low!$G$59</f>
        <v>1.6501943518055555</v>
      </c>
      <c r="G9" s="302">
        <f>3High!$G$59</f>
        <v>2.3664750636111114</v>
      </c>
      <c r="J9" s="285" t="s">
        <v>210</v>
      </c>
      <c r="K9" s="274">
        <f>1Low!$G$59/L4</f>
        <v>0.06630605350308642</v>
      </c>
      <c r="L9" s="273">
        <f>1High!$G$59/L4</f>
        <v>0.08642593583333331</v>
      </c>
      <c r="M9" s="274">
        <f>2Low!$G$59/N4</f>
        <v>0.06288577255681818</v>
      </c>
      <c r="N9" s="273">
        <f>2High!$G$59/N4</f>
        <v>0.08623668875</v>
      </c>
      <c r="O9" s="274">
        <f>3Low!$G$59/P4</f>
        <v>0.0634690135309829</v>
      </c>
      <c r="P9" s="286">
        <f>3High!$G$59/P4</f>
        <v>0.09101827167735044</v>
      </c>
    </row>
    <row r="10" spans="1:16" ht="12.75">
      <c r="A10" s="309" t="s">
        <v>310</v>
      </c>
      <c r="B10" s="304">
        <f>Param!$B$15</f>
        <v>7500</v>
      </c>
      <c r="C10" s="307">
        <f>Param!$B$17</f>
        <v>15000</v>
      </c>
      <c r="D10" s="304">
        <f>Param!$C$15</f>
        <v>11250</v>
      </c>
      <c r="E10" s="307">
        <f>Param!$C$17</f>
        <v>22500</v>
      </c>
      <c r="F10" s="305">
        <f>Param!$D$15</f>
        <v>14125</v>
      </c>
      <c r="G10" s="306">
        <f>Param!$D$17</f>
        <v>28250</v>
      </c>
      <c r="J10" s="309" t="s">
        <v>310</v>
      </c>
      <c r="K10" s="304">
        <f>Param!$B$15</f>
        <v>7500</v>
      </c>
      <c r="L10" s="307">
        <f>Param!$B$17</f>
        <v>15000</v>
      </c>
      <c r="M10" s="304">
        <f>Param!$C$15</f>
        <v>11250</v>
      </c>
      <c r="N10" s="307">
        <f>Param!$C$17</f>
        <v>22500</v>
      </c>
      <c r="O10" s="305">
        <f>Param!$D$15</f>
        <v>14125</v>
      </c>
      <c r="P10" s="306">
        <f>Param!$D$17</f>
        <v>28250</v>
      </c>
    </row>
    <row r="11" spans="1:16" ht="13.5" thickBot="1">
      <c r="A11" s="303" t="s">
        <v>308</v>
      </c>
      <c r="B11" s="197">
        <f>Param!$G$24</f>
        <v>1875</v>
      </c>
      <c r="C11" s="308">
        <f>Param!$G$25</f>
        <v>3750</v>
      </c>
      <c r="D11" s="197">
        <f>Param!$H$24</f>
        <v>2301.1363636363635</v>
      </c>
      <c r="E11" s="308">
        <f>Param!$H$25</f>
        <v>4602.272727272727</v>
      </c>
      <c r="F11" s="299">
        <f>Param!$I$24</f>
        <v>2716.346153846154</v>
      </c>
      <c r="G11" s="257">
        <f>Param!$I$25</f>
        <v>5432.692307692308</v>
      </c>
      <c r="J11" s="303" t="s">
        <v>308</v>
      </c>
      <c r="K11" s="292">
        <f>Param!$G$24</f>
        <v>1875</v>
      </c>
      <c r="L11" s="310">
        <f>Param!$G$25</f>
        <v>3750</v>
      </c>
      <c r="M11" s="292">
        <f>Param!$H$24</f>
        <v>2301.1363636363635</v>
      </c>
      <c r="N11" s="292">
        <f>Param!$H$25</f>
        <v>4602.272727272727</v>
      </c>
      <c r="O11" s="206">
        <f>Param!$I$24</f>
        <v>2716.346153846154</v>
      </c>
      <c r="P11" s="293">
        <f>Param!$I$25</f>
        <v>5432.692307692308</v>
      </c>
    </row>
    <row r="12" spans="1:10" ht="12.75">
      <c r="A12" s="291" t="s">
        <v>309</v>
      </c>
      <c r="I12" s="109"/>
      <c r="J12" s="298" t="s">
        <v>309</v>
      </c>
    </row>
    <row r="13" spans="1:10" ht="12.75">
      <c r="A13" s="311"/>
      <c r="I13" s="109"/>
      <c r="J13" s="311"/>
    </row>
    <row r="14" spans="1:10" ht="12.75">
      <c r="A14" s="72" t="s">
        <v>302</v>
      </c>
      <c r="G14" t="s">
        <v>312</v>
      </c>
      <c r="I14" s="109"/>
      <c r="J14" s="72" t="s">
        <v>317</v>
      </c>
    </row>
    <row r="15" spans="1:17" ht="12.75">
      <c r="A15" s="312" t="s">
        <v>313</v>
      </c>
      <c r="B15" s="190">
        <f>Param!$B$18</f>
        <v>4</v>
      </c>
      <c r="C15" s="190">
        <f>Param!$B$18</f>
        <v>4</v>
      </c>
      <c r="D15" s="190">
        <f>Param!$C$18</f>
        <v>4.5</v>
      </c>
      <c r="E15" s="190">
        <f>Param!$C$18</f>
        <v>4.5</v>
      </c>
      <c r="F15" s="190">
        <f>Param!$D$18</f>
        <v>5</v>
      </c>
      <c r="G15" s="190">
        <f>Param!$D$18</f>
        <v>5</v>
      </c>
      <c r="H15">
        <v>6.7</v>
      </c>
      <c r="I15" s="109"/>
      <c r="J15" s="312" t="s">
        <v>313</v>
      </c>
      <c r="K15" s="190">
        <f>Param!$B$18</f>
        <v>4</v>
      </c>
      <c r="L15" s="190">
        <f>Param!$B$18</f>
        <v>4</v>
      </c>
      <c r="M15" s="190">
        <f>Param!$C$18</f>
        <v>4.5</v>
      </c>
      <c r="N15" s="190">
        <f>Param!$C$18</f>
        <v>4.5</v>
      </c>
      <c r="O15" s="190">
        <f>Param!$D$18</f>
        <v>5</v>
      </c>
      <c r="P15" s="190">
        <f>Param!$D$18</f>
        <v>5</v>
      </c>
      <c r="Q15">
        <v>6.7</v>
      </c>
    </row>
    <row r="16" spans="1:17" ht="12.75">
      <c r="A16" s="105" t="s">
        <v>311</v>
      </c>
      <c r="H16" s="316" t="s">
        <v>322</v>
      </c>
      <c r="I16" s="71" t="s">
        <v>320</v>
      </c>
      <c r="J16" s="105" t="s">
        <v>311</v>
      </c>
      <c r="K16" s="75"/>
      <c r="Q16" s="316" t="s">
        <v>322</v>
      </c>
    </row>
    <row r="17" spans="1:17" ht="12.75">
      <c r="A17" s="313">
        <v>0.1</v>
      </c>
      <c r="B17" s="314">
        <f>A17*$B$15*$B$10/1000</f>
        <v>3</v>
      </c>
      <c r="C17" s="314">
        <f>A17*$C$15*$C$10/1000</f>
        <v>6</v>
      </c>
      <c r="D17" s="314">
        <f>A17*$D$15*$D$10/1000</f>
        <v>5.0625</v>
      </c>
      <c r="E17" s="314">
        <f>A17*$E$15*$E$10/1000</f>
        <v>10.125</v>
      </c>
      <c r="F17" s="314">
        <f>A17*$F$15*$F$10/1000</f>
        <v>7.0625</v>
      </c>
      <c r="G17" s="314">
        <f>A17*$G$15*$G$10/1000</f>
        <v>14.125</v>
      </c>
      <c r="H17" s="317">
        <f aca="true" t="shared" si="0" ref="H17:H30">A17*$H$15</f>
        <v>0.67</v>
      </c>
      <c r="I17" s="323">
        <v>1</v>
      </c>
      <c r="J17" s="313">
        <v>0.1</v>
      </c>
      <c r="K17" s="314">
        <f>J17*$B$15*$B$10/1000/$L$4</f>
        <v>0.1875</v>
      </c>
      <c r="L17" s="314">
        <f>J17*$C$15*$C$10/1000/$L$4</f>
        <v>0.375</v>
      </c>
      <c r="M17" s="314">
        <f>J17*$D$15*$D$10/1000/$N$4</f>
        <v>0.23011363636363635</v>
      </c>
      <c r="N17" s="314">
        <f>J17*$E$15*$E$10/1000/$N$4</f>
        <v>0.4602272727272727</v>
      </c>
      <c r="O17" s="314">
        <f>J17*$F$15*$F$10/1000/$P$4</f>
        <v>0.27163461538461536</v>
      </c>
      <c r="P17" s="314">
        <f>J17*$G$15*$G$10/1000/$P$4</f>
        <v>0.5432692307692307</v>
      </c>
      <c r="Q17" s="317">
        <f aca="true" t="shared" si="1" ref="Q17:Q30">J17*$H$15</f>
        <v>0.67</v>
      </c>
    </row>
    <row r="18" spans="1:17" ht="12.75">
      <c r="A18" s="313">
        <v>0.15</v>
      </c>
      <c r="B18" s="314">
        <f aca="true" t="shared" si="2" ref="B18:B30">A18*$B$15*$B$10/1000</f>
        <v>4.5</v>
      </c>
      <c r="C18" s="314">
        <f aca="true" t="shared" si="3" ref="C18:C30">A18*$C$15*$C$10/1000</f>
        <v>9</v>
      </c>
      <c r="D18" s="314">
        <f aca="true" t="shared" si="4" ref="D18:D30">A18*$D$15*$D$10/1000</f>
        <v>7.593749999999999</v>
      </c>
      <c r="E18" s="314">
        <f aca="true" t="shared" si="5" ref="E18:E30">A18*$E$15*$E$10/1000</f>
        <v>15.187499999999998</v>
      </c>
      <c r="F18" s="314">
        <f aca="true" t="shared" si="6" ref="F18:F30">A18*$F$15*$F$10/1000</f>
        <v>10.59375</v>
      </c>
      <c r="G18" s="314">
        <f aca="true" t="shared" si="7" ref="G18:G30">A18*$G$15*$G$10/1000</f>
        <v>21.1875</v>
      </c>
      <c r="H18" s="317">
        <f t="shared" si="0"/>
        <v>1.005</v>
      </c>
      <c r="I18" s="323">
        <v>2</v>
      </c>
      <c r="J18" s="313">
        <v>0.15</v>
      </c>
      <c r="K18" s="314">
        <f aca="true" t="shared" si="8" ref="K18:K30">J18*$B$15*$B$10/1000/$L$4</f>
        <v>0.28125</v>
      </c>
      <c r="L18" s="314">
        <f aca="true" t="shared" si="9" ref="L18:L30">J18*$C$15*$C$10/1000/$L$4</f>
        <v>0.5625</v>
      </c>
      <c r="M18" s="314">
        <f aca="true" t="shared" si="10" ref="M18:M30">J18*$D$15*$D$10/1000/$N$4</f>
        <v>0.34517045454545453</v>
      </c>
      <c r="N18" s="314">
        <f aca="true" t="shared" si="11" ref="N18:N30">J18*$E$15*$E$10/1000/$N$4</f>
        <v>0.6903409090909091</v>
      </c>
      <c r="O18" s="314">
        <f aca="true" t="shared" si="12" ref="O18:O30">J18*$F$15*$F$10/1000/$P$4</f>
        <v>0.4074519230769231</v>
      </c>
      <c r="P18" s="314">
        <f aca="true" t="shared" si="13" ref="P18:P30">J18*$G$15*$G$10/1000/$P$4</f>
        <v>0.8149038461538461</v>
      </c>
      <c r="Q18" s="317">
        <f t="shared" si="1"/>
        <v>1.005</v>
      </c>
    </row>
    <row r="19" spans="1:17" ht="12.75">
      <c r="A19" s="313">
        <v>0.2</v>
      </c>
      <c r="B19" s="314">
        <f t="shared" si="2"/>
        <v>6</v>
      </c>
      <c r="C19" s="314">
        <f t="shared" si="3"/>
        <v>12</v>
      </c>
      <c r="D19" s="314">
        <f t="shared" si="4"/>
        <v>10.125</v>
      </c>
      <c r="E19" s="314">
        <f t="shared" si="5"/>
        <v>20.25</v>
      </c>
      <c r="F19" s="314">
        <f t="shared" si="6"/>
        <v>14.125</v>
      </c>
      <c r="G19" s="314">
        <f t="shared" si="7"/>
        <v>28.25</v>
      </c>
      <c r="H19" s="317">
        <f t="shared" si="0"/>
        <v>1.34</v>
      </c>
      <c r="I19" s="323">
        <v>3</v>
      </c>
      <c r="J19" s="313">
        <v>0.2</v>
      </c>
      <c r="K19" s="314">
        <f t="shared" si="8"/>
        <v>0.375</v>
      </c>
      <c r="L19" s="314">
        <f t="shared" si="9"/>
        <v>0.75</v>
      </c>
      <c r="M19" s="314">
        <f t="shared" si="10"/>
        <v>0.4602272727272727</v>
      </c>
      <c r="N19" s="314">
        <f t="shared" si="11"/>
        <v>0.9204545454545454</v>
      </c>
      <c r="O19" s="314">
        <f t="shared" si="12"/>
        <v>0.5432692307692307</v>
      </c>
      <c r="P19" s="314">
        <f t="shared" si="13"/>
        <v>1.0865384615384615</v>
      </c>
      <c r="Q19" s="317">
        <f t="shared" si="1"/>
        <v>1.34</v>
      </c>
    </row>
    <row r="20" spans="1:17" ht="12.75">
      <c r="A20" s="313">
        <v>0.25</v>
      </c>
      <c r="B20" s="314">
        <f t="shared" si="2"/>
        <v>7.5</v>
      </c>
      <c r="C20" s="314">
        <f t="shared" si="3"/>
        <v>15</v>
      </c>
      <c r="D20" s="314">
        <f t="shared" si="4"/>
        <v>12.65625</v>
      </c>
      <c r="E20" s="314">
        <f t="shared" si="5"/>
        <v>25.3125</v>
      </c>
      <c r="F20" s="314">
        <f t="shared" si="6"/>
        <v>17.65625</v>
      </c>
      <c r="G20" s="314">
        <f t="shared" si="7"/>
        <v>35.3125</v>
      </c>
      <c r="H20" s="317">
        <f t="shared" si="0"/>
        <v>1.675</v>
      </c>
      <c r="I20" s="323">
        <v>4</v>
      </c>
      <c r="J20" s="313">
        <v>0.25</v>
      </c>
      <c r="K20" s="314">
        <f t="shared" si="8"/>
        <v>0.46875</v>
      </c>
      <c r="L20" s="314">
        <f t="shared" si="9"/>
        <v>0.9375</v>
      </c>
      <c r="M20" s="314">
        <f t="shared" si="10"/>
        <v>0.5752840909090909</v>
      </c>
      <c r="N20" s="314">
        <f t="shared" si="11"/>
        <v>1.1505681818181819</v>
      </c>
      <c r="O20" s="314">
        <f t="shared" si="12"/>
        <v>0.6790865384615384</v>
      </c>
      <c r="P20" s="314">
        <f t="shared" si="13"/>
        <v>1.3581730769230769</v>
      </c>
      <c r="Q20" s="317">
        <f t="shared" si="1"/>
        <v>1.675</v>
      </c>
    </row>
    <row r="21" spans="1:17" ht="12.75">
      <c r="A21" s="313">
        <v>0.3</v>
      </c>
      <c r="B21" s="314">
        <f t="shared" si="2"/>
        <v>9</v>
      </c>
      <c r="C21" s="314">
        <f t="shared" si="3"/>
        <v>18</v>
      </c>
      <c r="D21" s="314">
        <f t="shared" si="4"/>
        <v>15.187499999999998</v>
      </c>
      <c r="E21" s="314">
        <f t="shared" si="5"/>
        <v>30.374999999999996</v>
      </c>
      <c r="F21" s="314">
        <f t="shared" si="6"/>
        <v>21.1875</v>
      </c>
      <c r="G21" s="314">
        <f t="shared" si="7"/>
        <v>42.375</v>
      </c>
      <c r="H21" s="317">
        <f t="shared" si="0"/>
        <v>2.01</v>
      </c>
      <c r="I21" s="323">
        <v>5</v>
      </c>
      <c r="J21" s="313">
        <v>0.3</v>
      </c>
      <c r="K21" s="314">
        <f t="shared" si="8"/>
        <v>0.5625</v>
      </c>
      <c r="L21" s="314">
        <f t="shared" si="9"/>
        <v>1.125</v>
      </c>
      <c r="M21" s="314">
        <f t="shared" si="10"/>
        <v>0.6903409090909091</v>
      </c>
      <c r="N21" s="314">
        <f t="shared" si="11"/>
        <v>1.3806818181818181</v>
      </c>
      <c r="O21" s="314">
        <f t="shared" si="12"/>
        <v>0.8149038461538461</v>
      </c>
      <c r="P21" s="314">
        <f t="shared" si="13"/>
        <v>1.6298076923076923</v>
      </c>
      <c r="Q21" s="317">
        <f t="shared" si="1"/>
        <v>2.01</v>
      </c>
    </row>
    <row r="22" spans="1:17" ht="12.75">
      <c r="A22" s="313">
        <v>0.35</v>
      </c>
      <c r="B22" s="314">
        <f t="shared" si="2"/>
        <v>10.5</v>
      </c>
      <c r="C22" s="314">
        <f t="shared" si="3"/>
        <v>21</v>
      </c>
      <c r="D22" s="314">
        <f t="shared" si="4"/>
        <v>17.71875</v>
      </c>
      <c r="E22" s="314">
        <f t="shared" si="5"/>
        <v>35.4375</v>
      </c>
      <c r="F22" s="314">
        <f t="shared" si="6"/>
        <v>24.71875</v>
      </c>
      <c r="G22" s="314">
        <f t="shared" si="7"/>
        <v>49.4375</v>
      </c>
      <c r="H22" s="317">
        <f t="shared" si="0"/>
        <v>2.3449999999999998</v>
      </c>
      <c r="I22" s="323">
        <v>6</v>
      </c>
      <c r="J22" s="313">
        <v>0.35</v>
      </c>
      <c r="K22" s="314">
        <f t="shared" si="8"/>
        <v>0.65625</v>
      </c>
      <c r="L22" s="314">
        <f t="shared" si="9"/>
        <v>1.3125</v>
      </c>
      <c r="M22" s="314">
        <f t="shared" si="10"/>
        <v>0.8053977272727273</v>
      </c>
      <c r="N22" s="314">
        <f t="shared" si="11"/>
        <v>1.6107954545454546</v>
      </c>
      <c r="O22" s="314">
        <f t="shared" si="12"/>
        <v>0.9507211538461539</v>
      </c>
      <c r="P22" s="314">
        <f t="shared" si="13"/>
        <v>1.9014423076923077</v>
      </c>
      <c r="Q22" s="317">
        <f t="shared" si="1"/>
        <v>2.3449999999999998</v>
      </c>
    </row>
    <row r="23" spans="1:17" ht="12.75">
      <c r="A23" s="313">
        <v>0.4</v>
      </c>
      <c r="B23" s="314">
        <f t="shared" si="2"/>
        <v>12</v>
      </c>
      <c r="C23" s="314">
        <f t="shared" si="3"/>
        <v>24</v>
      </c>
      <c r="D23" s="314">
        <f t="shared" si="4"/>
        <v>20.25</v>
      </c>
      <c r="E23" s="314">
        <f t="shared" si="5"/>
        <v>40.5</v>
      </c>
      <c r="F23" s="314">
        <f t="shared" si="6"/>
        <v>28.25</v>
      </c>
      <c r="G23" s="314">
        <f t="shared" si="7"/>
        <v>56.5</v>
      </c>
      <c r="H23" s="317">
        <f t="shared" si="0"/>
        <v>2.68</v>
      </c>
      <c r="I23" s="323">
        <v>7</v>
      </c>
      <c r="J23" s="313">
        <v>0.4</v>
      </c>
      <c r="K23" s="314">
        <f t="shared" si="8"/>
        <v>0.75</v>
      </c>
      <c r="L23" s="314">
        <f t="shared" si="9"/>
        <v>1.5</v>
      </c>
      <c r="M23" s="314">
        <f t="shared" si="10"/>
        <v>0.9204545454545454</v>
      </c>
      <c r="N23" s="314">
        <f t="shared" si="11"/>
        <v>1.8409090909090908</v>
      </c>
      <c r="O23" s="314">
        <f t="shared" si="12"/>
        <v>1.0865384615384615</v>
      </c>
      <c r="P23" s="314">
        <f t="shared" si="13"/>
        <v>2.173076923076923</v>
      </c>
      <c r="Q23" s="317">
        <f t="shared" si="1"/>
        <v>2.68</v>
      </c>
    </row>
    <row r="24" spans="1:17" ht="12.75">
      <c r="A24" s="313">
        <v>0.45</v>
      </c>
      <c r="B24" s="314">
        <f t="shared" si="2"/>
        <v>13.5</v>
      </c>
      <c r="C24" s="314">
        <f t="shared" si="3"/>
        <v>27</v>
      </c>
      <c r="D24" s="314">
        <f t="shared" si="4"/>
        <v>22.78125</v>
      </c>
      <c r="E24" s="314">
        <f t="shared" si="5"/>
        <v>45.5625</v>
      </c>
      <c r="F24" s="314">
        <f t="shared" si="6"/>
        <v>31.78125</v>
      </c>
      <c r="G24" s="314">
        <f t="shared" si="7"/>
        <v>63.5625</v>
      </c>
      <c r="H24" s="317">
        <f t="shared" si="0"/>
        <v>3.015</v>
      </c>
      <c r="I24" s="323">
        <v>8</v>
      </c>
      <c r="J24" s="313">
        <v>0.45</v>
      </c>
      <c r="K24" s="314">
        <f t="shared" si="8"/>
        <v>0.84375</v>
      </c>
      <c r="L24" s="314">
        <f t="shared" si="9"/>
        <v>1.6875</v>
      </c>
      <c r="M24" s="314">
        <f t="shared" si="10"/>
        <v>1.0355113636363635</v>
      </c>
      <c r="N24" s="314">
        <f t="shared" si="11"/>
        <v>2.071022727272727</v>
      </c>
      <c r="O24" s="314">
        <f t="shared" si="12"/>
        <v>1.2223557692307692</v>
      </c>
      <c r="P24" s="314">
        <f t="shared" si="13"/>
        <v>2.4447115384615383</v>
      </c>
      <c r="Q24" s="317">
        <f t="shared" si="1"/>
        <v>3.015</v>
      </c>
    </row>
    <row r="25" spans="1:17" ht="12.75">
      <c r="A25" s="313">
        <v>0.5</v>
      </c>
      <c r="B25" s="314">
        <f t="shared" si="2"/>
        <v>15</v>
      </c>
      <c r="C25" s="314">
        <f t="shared" si="3"/>
        <v>30</v>
      </c>
      <c r="D25" s="314">
        <f t="shared" si="4"/>
        <v>25.3125</v>
      </c>
      <c r="E25" s="314">
        <f t="shared" si="5"/>
        <v>50.625</v>
      </c>
      <c r="F25" s="314">
        <f t="shared" si="6"/>
        <v>35.3125</v>
      </c>
      <c r="G25" s="314">
        <f t="shared" si="7"/>
        <v>70.625</v>
      </c>
      <c r="H25" s="317">
        <f t="shared" si="0"/>
        <v>3.35</v>
      </c>
      <c r="I25" s="323">
        <v>9</v>
      </c>
      <c r="J25" s="313">
        <v>0.5</v>
      </c>
      <c r="K25" s="314">
        <f t="shared" si="8"/>
        <v>0.9375</v>
      </c>
      <c r="L25" s="314">
        <f t="shared" si="9"/>
        <v>1.875</v>
      </c>
      <c r="M25" s="314">
        <f t="shared" si="10"/>
        <v>1.1505681818181819</v>
      </c>
      <c r="N25" s="314">
        <f t="shared" si="11"/>
        <v>2.3011363636363638</v>
      </c>
      <c r="O25" s="314">
        <f t="shared" si="12"/>
        <v>1.3581730769230769</v>
      </c>
      <c r="P25" s="314">
        <f t="shared" si="13"/>
        <v>2.7163461538461537</v>
      </c>
      <c r="Q25" s="317">
        <f t="shared" si="1"/>
        <v>3.35</v>
      </c>
    </row>
    <row r="26" spans="1:17" ht="12.75">
      <c r="A26" s="319">
        <v>0.55</v>
      </c>
      <c r="B26" s="322">
        <f t="shared" si="2"/>
        <v>16.5</v>
      </c>
      <c r="C26" s="322">
        <f t="shared" si="3"/>
        <v>33</v>
      </c>
      <c r="D26" s="322">
        <f t="shared" si="4"/>
        <v>27.84375</v>
      </c>
      <c r="E26" s="322">
        <f t="shared" si="5"/>
        <v>55.6875</v>
      </c>
      <c r="F26" s="322">
        <f t="shared" si="6"/>
        <v>38.84375</v>
      </c>
      <c r="G26" s="322">
        <f t="shared" si="7"/>
        <v>77.6875</v>
      </c>
      <c r="H26" s="321">
        <f t="shared" si="0"/>
        <v>3.6850000000000005</v>
      </c>
      <c r="I26" s="323">
        <v>10</v>
      </c>
      <c r="J26" s="319">
        <v>0.55</v>
      </c>
      <c r="K26" s="322">
        <f t="shared" si="8"/>
        <v>1.03125</v>
      </c>
      <c r="L26" s="322">
        <f t="shared" si="9"/>
        <v>2.0625</v>
      </c>
      <c r="M26" s="322">
        <f t="shared" si="10"/>
        <v>1.265625</v>
      </c>
      <c r="N26" s="322">
        <f t="shared" si="11"/>
        <v>2.53125</v>
      </c>
      <c r="O26" s="322">
        <f t="shared" si="12"/>
        <v>1.4939903846153846</v>
      </c>
      <c r="P26" s="322">
        <f t="shared" si="13"/>
        <v>2.987980769230769</v>
      </c>
      <c r="Q26" s="321">
        <f t="shared" si="1"/>
        <v>3.6850000000000005</v>
      </c>
    </row>
    <row r="27" spans="1:17" ht="12.75">
      <c r="A27" s="313">
        <v>0.6</v>
      </c>
      <c r="B27" s="314">
        <f t="shared" si="2"/>
        <v>18</v>
      </c>
      <c r="C27" s="314">
        <f t="shared" si="3"/>
        <v>36</v>
      </c>
      <c r="D27" s="314">
        <f t="shared" si="4"/>
        <v>30.374999999999996</v>
      </c>
      <c r="E27" s="314">
        <f t="shared" si="5"/>
        <v>60.74999999999999</v>
      </c>
      <c r="F27" s="314">
        <f t="shared" si="6"/>
        <v>42.375</v>
      </c>
      <c r="G27" s="314">
        <f t="shared" si="7"/>
        <v>84.75</v>
      </c>
      <c r="H27" s="317">
        <f t="shared" si="0"/>
        <v>4.02</v>
      </c>
      <c r="I27" s="323">
        <v>11</v>
      </c>
      <c r="J27" s="313">
        <v>0.6</v>
      </c>
      <c r="K27" s="314">
        <f t="shared" si="8"/>
        <v>1.125</v>
      </c>
      <c r="L27" s="314">
        <f t="shared" si="9"/>
        <v>2.25</v>
      </c>
      <c r="M27" s="314">
        <f t="shared" si="10"/>
        <v>1.3806818181818181</v>
      </c>
      <c r="N27" s="314">
        <f t="shared" si="11"/>
        <v>2.7613636363636362</v>
      </c>
      <c r="O27" s="314">
        <f t="shared" si="12"/>
        <v>1.6298076923076923</v>
      </c>
      <c r="P27" s="314">
        <f t="shared" si="13"/>
        <v>3.2596153846153846</v>
      </c>
      <c r="Q27" s="317">
        <f t="shared" si="1"/>
        <v>4.02</v>
      </c>
    </row>
    <row r="28" spans="1:17" ht="12.75">
      <c r="A28" s="313">
        <v>0.65</v>
      </c>
      <c r="B28" s="314">
        <f t="shared" si="2"/>
        <v>19.5</v>
      </c>
      <c r="C28" s="314">
        <f t="shared" si="3"/>
        <v>39</v>
      </c>
      <c r="D28" s="314">
        <f t="shared" si="4"/>
        <v>32.90625</v>
      </c>
      <c r="E28" s="314">
        <f t="shared" si="5"/>
        <v>65.8125</v>
      </c>
      <c r="F28" s="314">
        <f t="shared" si="6"/>
        <v>45.90625</v>
      </c>
      <c r="G28" s="314">
        <f t="shared" si="7"/>
        <v>91.8125</v>
      </c>
      <c r="H28" s="317">
        <f t="shared" si="0"/>
        <v>4.355</v>
      </c>
      <c r="I28" s="323">
        <v>12</v>
      </c>
      <c r="J28" s="313">
        <v>0.65</v>
      </c>
      <c r="K28" s="314">
        <f t="shared" si="8"/>
        <v>1.21875</v>
      </c>
      <c r="L28" s="314">
        <f t="shared" si="9"/>
        <v>2.4375</v>
      </c>
      <c r="M28" s="314">
        <f t="shared" si="10"/>
        <v>1.4957386363636365</v>
      </c>
      <c r="N28" s="314">
        <f t="shared" si="11"/>
        <v>2.991477272727273</v>
      </c>
      <c r="O28" s="314">
        <f t="shared" si="12"/>
        <v>1.765625</v>
      </c>
      <c r="P28" s="314">
        <f t="shared" si="13"/>
        <v>3.53125</v>
      </c>
      <c r="Q28" s="317">
        <f t="shared" si="1"/>
        <v>4.355</v>
      </c>
    </row>
    <row r="29" spans="1:17" ht="12.75">
      <c r="A29" s="313">
        <v>0.7</v>
      </c>
      <c r="B29" s="314">
        <f t="shared" si="2"/>
        <v>21</v>
      </c>
      <c r="C29" s="314">
        <f t="shared" si="3"/>
        <v>42</v>
      </c>
      <c r="D29" s="314">
        <f t="shared" si="4"/>
        <v>35.4375</v>
      </c>
      <c r="E29" s="314">
        <f t="shared" si="5"/>
        <v>70.875</v>
      </c>
      <c r="F29" s="314">
        <f t="shared" si="6"/>
        <v>49.4375</v>
      </c>
      <c r="G29" s="314">
        <f t="shared" si="7"/>
        <v>98.875</v>
      </c>
      <c r="H29" s="317">
        <f t="shared" si="0"/>
        <v>4.6899999999999995</v>
      </c>
      <c r="I29" s="323">
        <v>13</v>
      </c>
      <c r="J29" s="313">
        <v>0.7</v>
      </c>
      <c r="K29" s="314">
        <f t="shared" si="8"/>
        <v>1.3125</v>
      </c>
      <c r="L29" s="314">
        <f t="shared" si="9"/>
        <v>2.625</v>
      </c>
      <c r="M29" s="314">
        <f t="shared" si="10"/>
        <v>1.6107954545454546</v>
      </c>
      <c r="N29" s="314">
        <f t="shared" si="11"/>
        <v>3.221590909090909</v>
      </c>
      <c r="O29" s="314">
        <f t="shared" si="12"/>
        <v>1.9014423076923077</v>
      </c>
      <c r="P29" s="314">
        <f t="shared" si="13"/>
        <v>3.8028846153846154</v>
      </c>
      <c r="Q29" s="317">
        <f t="shared" si="1"/>
        <v>4.6899999999999995</v>
      </c>
    </row>
    <row r="30" spans="1:17" ht="12.75">
      <c r="A30" s="313">
        <v>0.75</v>
      </c>
      <c r="B30" s="314">
        <f t="shared" si="2"/>
        <v>22.5</v>
      </c>
      <c r="C30" s="314">
        <f t="shared" si="3"/>
        <v>45</v>
      </c>
      <c r="D30" s="314">
        <f t="shared" si="4"/>
        <v>37.96875</v>
      </c>
      <c r="E30" s="314">
        <f t="shared" si="5"/>
        <v>75.9375</v>
      </c>
      <c r="F30" s="314">
        <f t="shared" si="6"/>
        <v>52.96875</v>
      </c>
      <c r="G30" s="314">
        <f t="shared" si="7"/>
        <v>105.9375</v>
      </c>
      <c r="H30" s="317">
        <f t="shared" si="0"/>
        <v>5.025</v>
      </c>
      <c r="I30" s="323">
        <v>14</v>
      </c>
      <c r="J30" s="313">
        <v>0.75</v>
      </c>
      <c r="K30" s="314">
        <f t="shared" si="8"/>
        <v>1.40625</v>
      </c>
      <c r="L30" s="314">
        <f t="shared" si="9"/>
        <v>2.8125</v>
      </c>
      <c r="M30" s="314">
        <f t="shared" si="10"/>
        <v>1.7258522727272727</v>
      </c>
      <c r="N30" s="314">
        <f t="shared" si="11"/>
        <v>3.4517045454545454</v>
      </c>
      <c r="O30" s="314">
        <f t="shared" si="12"/>
        <v>2.0372596153846154</v>
      </c>
      <c r="P30" s="314">
        <f t="shared" si="13"/>
        <v>4.074519230769231</v>
      </c>
      <c r="Q30" s="317">
        <f t="shared" si="1"/>
        <v>5.025</v>
      </c>
    </row>
    <row r="32" spans="1:16" ht="12.75">
      <c r="A32" s="72" t="s">
        <v>314</v>
      </c>
      <c r="B32" s="109"/>
      <c r="C32" s="267" t="s">
        <v>76</v>
      </c>
      <c r="D32" s="109"/>
      <c r="E32" s="267" t="s">
        <v>76</v>
      </c>
      <c r="F32" s="109"/>
      <c r="G32" s="279" t="s">
        <v>76</v>
      </c>
      <c r="J32" s="72" t="s">
        <v>318</v>
      </c>
      <c r="K32" s="178"/>
      <c r="L32" s="267" t="s">
        <v>76</v>
      </c>
      <c r="M32" s="109"/>
      <c r="N32" s="267" t="s">
        <v>76</v>
      </c>
      <c r="O32" s="109"/>
      <c r="P32" s="279" t="s">
        <v>76</v>
      </c>
    </row>
    <row r="33" spans="1:16" ht="12.75">
      <c r="A33" s="72" t="s">
        <v>315</v>
      </c>
      <c r="B33" s="280" t="s">
        <v>303</v>
      </c>
      <c r="C33" s="266">
        <f>Param!$B$9</f>
        <v>16</v>
      </c>
      <c r="D33" s="280" t="s">
        <v>304</v>
      </c>
      <c r="E33" s="266">
        <f>Param!$C$9</f>
        <v>22</v>
      </c>
      <c r="F33" s="280" t="s">
        <v>305</v>
      </c>
      <c r="G33" s="281">
        <f>Param!$D$9</f>
        <v>26</v>
      </c>
      <c r="I33" s="71" t="s">
        <v>321</v>
      </c>
      <c r="J33" s="72" t="s">
        <v>315</v>
      </c>
      <c r="K33" s="280" t="s">
        <v>303</v>
      </c>
      <c r="L33" s="266">
        <f>Param!$B$9</f>
        <v>16</v>
      </c>
      <c r="M33" s="280" t="s">
        <v>304</v>
      </c>
      <c r="N33" s="266">
        <f>Param!$C$9</f>
        <v>22</v>
      </c>
      <c r="O33" s="280" t="s">
        <v>305</v>
      </c>
      <c r="P33" s="281">
        <f>Param!$D$9</f>
        <v>26</v>
      </c>
    </row>
    <row r="34" spans="1:17" ht="12.75">
      <c r="A34" s="105" t="s">
        <v>311</v>
      </c>
      <c r="B34" s="99" t="s">
        <v>50</v>
      </c>
      <c r="C34" s="76" t="s">
        <v>51</v>
      </c>
      <c r="D34" s="99" t="s">
        <v>50</v>
      </c>
      <c r="E34" s="76" t="s">
        <v>51</v>
      </c>
      <c r="F34" s="99" t="s">
        <v>50</v>
      </c>
      <c r="G34" s="99" t="s">
        <v>51</v>
      </c>
      <c r="H34" s="316" t="s">
        <v>322</v>
      </c>
      <c r="J34" s="105" t="s">
        <v>311</v>
      </c>
      <c r="K34" s="99" t="s">
        <v>50</v>
      </c>
      <c r="L34" s="76" t="s">
        <v>51</v>
      </c>
      <c r="M34" s="99" t="s">
        <v>50</v>
      </c>
      <c r="N34" s="76" t="s">
        <v>51</v>
      </c>
      <c r="O34" s="99" t="s">
        <v>50</v>
      </c>
      <c r="P34" s="99" t="s">
        <v>51</v>
      </c>
      <c r="Q34" s="316" t="s">
        <v>322</v>
      </c>
    </row>
    <row r="35" spans="1:17" ht="12.75">
      <c r="A35" s="313">
        <v>0.1</v>
      </c>
      <c r="B35" s="315">
        <f>B17-$B$8</f>
        <v>-1.1749188015114962</v>
      </c>
      <c r="C35" s="315">
        <f>C17-$C$8</f>
        <v>1.2319340917215245</v>
      </c>
      <c r="D35" s="315">
        <f>D17-$D$8</f>
        <v>-0.21288399679981485</v>
      </c>
      <c r="E35" s="315">
        <f>E17-$E$8</f>
        <v>3.929052362725642</v>
      </c>
      <c r="F35" s="315">
        <f>F17-$F$8</f>
        <v>0.9882638281120109</v>
      </c>
      <c r="G35" s="315">
        <f>G17-$G$8</f>
        <v>6.823668519446751</v>
      </c>
      <c r="H35" s="317">
        <f aca="true" t="shared" si="14" ref="H35:H48">A35*$H$15</f>
        <v>0.67</v>
      </c>
      <c r="I35" s="323">
        <v>1</v>
      </c>
      <c r="J35" s="313">
        <v>0.1</v>
      </c>
      <c r="K35" s="315">
        <f>K17-$K$8</f>
        <v>-0.07343242509446851</v>
      </c>
      <c r="L35" s="315">
        <f>L17-$L$8</f>
        <v>0.07699588073259528</v>
      </c>
      <c r="M35" s="315">
        <f>M17-$M$8</f>
        <v>-0.00967654530908249</v>
      </c>
      <c r="N35" s="315">
        <f>N17-$N$8</f>
        <v>0.1785932892148019</v>
      </c>
      <c r="O35" s="315">
        <f>O17-$O$8</f>
        <v>0.03801014723507731</v>
      </c>
      <c r="P35" s="315">
        <f>P17-$P$8</f>
        <v>0.2624487892094904</v>
      </c>
      <c r="Q35" s="317">
        <f aca="true" t="shared" si="15" ref="Q35:Q48">J35*$H$15</f>
        <v>0.67</v>
      </c>
    </row>
    <row r="36" spans="1:17" ht="12.75">
      <c r="A36" s="313">
        <v>0.15</v>
      </c>
      <c r="B36" s="315">
        <f aca="true" t="shared" si="16" ref="B36:B48">B18-$B$8</f>
        <v>0.3250811984885038</v>
      </c>
      <c r="C36" s="315">
        <f aca="true" t="shared" si="17" ref="C36:C48">C18-$C$8</f>
        <v>4.2319340917215245</v>
      </c>
      <c r="D36" s="315">
        <f aca="true" t="shared" si="18" ref="D36:D48">D18-$D$8</f>
        <v>2.3183660032001843</v>
      </c>
      <c r="E36" s="315">
        <f aca="true" t="shared" si="19" ref="E36:E48">E18-$E$8</f>
        <v>8.99155236272564</v>
      </c>
      <c r="F36" s="315">
        <f aca="true" t="shared" si="20" ref="F36:F48">F18-$F$8</f>
        <v>4.519513828112011</v>
      </c>
      <c r="G36" s="315">
        <f aca="true" t="shared" si="21" ref="G36:G48">G18-$G$8</f>
        <v>13.886168519446752</v>
      </c>
      <c r="H36" s="317">
        <f t="shared" si="14"/>
        <v>1.005</v>
      </c>
      <c r="I36" s="323">
        <v>2</v>
      </c>
      <c r="J36" s="313">
        <v>0.15</v>
      </c>
      <c r="K36" s="315">
        <f aca="true" t="shared" si="22" ref="K36:K48">K18-$K$8</f>
        <v>0.020317574905531488</v>
      </c>
      <c r="L36" s="315">
        <f aca="true" t="shared" si="23" ref="L36:L48">L18-$L$8</f>
        <v>0.2644958807325953</v>
      </c>
      <c r="M36" s="315">
        <f aca="true" t="shared" si="24" ref="M36:M48">M18-$M$8</f>
        <v>0.10538027287273569</v>
      </c>
      <c r="N36" s="315">
        <f aca="true" t="shared" si="25" ref="N36:N48">N18-$N$8</f>
        <v>0.40870692557843824</v>
      </c>
      <c r="O36" s="315">
        <f aca="true" t="shared" si="26" ref="O36:O48">O18-$O$8</f>
        <v>0.17382745492738502</v>
      </c>
      <c r="P36" s="315">
        <f aca="true" t="shared" si="27" ref="P36:P48">P18-$P$8</f>
        <v>0.5340834045941059</v>
      </c>
      <c r="Q36" s="317">
        <f t="shared" si="15"/>
        <v>1.005</v>
      </c>
    </row>
    <row r="37" spans="1:17" ht="12.75">
      <c r="A37" s="313">
        <v>0.2</v>
      </c>
      <c r="B37" s="315">
        <f t="shared" si="16"/>
        <v>1.8250811984885038</v>
      </c>
      <c r="C37" s="315">
        <f t="shared" si="17"/>
        <v>7.2319340917215245</v>
      </c>
      <c r="D37" s="315">
        <f t="shared" si="18"/>
        <v>4.849616003200185</v>
      </c>
      <c r="E37" s="315">
        <f t="shared" si="19"/>
        <v>14.054052362725642</v>
      </c>
      <c r="F37" s="315">
        <f t="shared" si="20"/>
        <v>8.05076382811201</v>
      </c>
      <c r="G37" s="315">
        <f t="shared" si="21"/>
        <v>20.948668519446752</v>
      </c>
      <c r="H37" s="317">
        <f t="shared" si="14"/>
        <v>1.34</v>
      </c>
      <c r="I37" s="323">
        <v>3</v>
      </c>
      <c r="J37" s="313">
        <v>0.2</v>
      </c>
      <c r="K37" s="315">
        <f t="shared" si="22"/>
        <v>0.11406757490553149</v>
      </c>
      <c r="L37" s="315">
        <f t="shared" si="23"/>
        <v>0.4519958807325953</v>
      </c>
      <c r="M37" s="315">
        <f t="shared" si="24"/>
        <v>0.22043709105455386</v>
      </c>
      <c r="N37" s="315">
        <f t="shared" si="25"/>
        <v>0.6388205619420746</v>
      </c>
      <c r="O37" s="315">
        <f t="shared" si="26"/>
        <v>0.30964476261969265</v>
      </c>
      <c r="P37" s="315">
        <f t="shared" si="27"/>
        <v>0.8057180199787211</v>
      </c>
      <c r="Q37" s="317">
        <f t="shared" si="15"/>
        <v>1.34</v>
      </c>
    </row>
    <row r="38" spans="1:17" ht="12.75">
      <c r="A38" s="313">
        <v>0.25</v>
      </c>
      <c r="B38" s="315">
        <f t="shared" si="16"/>
        <v>3.325081198488504</v>
      </c>
      <c r="C38" s="315">
        <f t="shared" si="17"/>
        <v>10.231934091721524</v>
      </c>
      <c r="D38" s="315">
        <f t="shared" si="18"/>
        <v>7.380866003200185</v>
      </c>
      <c r="E38" s="315">
        <f t="shared" si="19"/>
        <v>19.116552362725642</v>
      </c>
      <c r="F38" s="315">
        <f t="shared" si="20"/>
        <v>11.58201382811201</v>
      </c>
      <c r="G38" s="315">
        <f t="shared" si="21"/>
        <v>28.011168519446752</v>
      </c>
      <c r="H38" s="317">
        <f t="shared" si="14"/>
        <v>1.675</v>
      </c>
      <c r="I38" s="323">
        <v>4</v>
      </c>
      <c r="J38" s="313">
        <v>0.25</v>
      </c>
      <c r="K38" s="315">
        <f t="shared" si="22"/>
        <v>0.2078175749055315</v>
      </c>
      <c r="L38" s="315">
        <f t="shared" si="23"/>
        <v>0.6394958807325952</v>
      </c>
      <c r="M38" s="315">
        <f t="shared" si="24"/>
        <v>0.3354939092363721</v>
      </c>
      <c r="N38" s="315">
        <f t="shared" si="25"/>
        <v>0.8689341983057111</v>
      </c>
      <c r="O38" s="315">
        <f t="shared" si="26"/>
        <v>0.44546207031200036</v>
      </c>
      <c r="P38" s="315">
        <f t="shared" si="27"/>
        <v>1.0773526353633365</v>
      </c>
      <c r="Q38" s="317">
        <f t="shared" si="15"/>
        <v>1.675</v>
      </c>
    </row>
    <row r="39" spans="1:17" ht="12.75">
      <c r="A39" s="313">
        <v>0.3</v>
      </c>
      <c r="B39" s="315">
        <f t="shared" si="16"/>
        <v>4.825081198488504</v>
      </c>
      <c r="C39" s="315">
        <f t="shared" si="17"/>
        <v>13.231934091721524</v>
      </c>
      <c r="D39" s="315">
        <f t="shared" si="18"/>
        <v>9.912116003200182</v>
      </c>
      <c r="E39" s="315">
        <f t="shared" si="19"/>
        <v>24.17905236272564</v>
      </c>
      <c r="F39" s="315">
        <f t="shared" si="20"/>
        <v>15.11326382811201</v>
      </c>
      <c r="G39" s="315">
        <f t="shared" si="21"/>
        <v>35.07366851944675</v>
      </c>
      <c r="H39" s="317">
        <f t="shared" si="14"/>
        <v>2.01</v>
      </c>
      <c r="I39" s="323">
        <v>5</v>
      </c>
      <c r="J39" s="313">
        <v>0.3</v>
      </c>
      <c r="K39" s="315">
        <f t="shared" si="22"/>
        <v>0.3015675749055315</v>
      </c>
      <c r="L39" s="315">
        <f t="shared" si="23"/>
        <v>0.8269958807325952</v>
      </c>
      <c r="M39" s="315">
        <f t="shared" si="24"/>
        <v>0.45055072741819024</v>
      </c>
      <c r="N39" s="315">
        <f t="shared" si="25"/>
        <v>1.0990478346693473</v>
      </c>
      <c r="O39" s="315">
        <f t="shared" si="26"/>
        <v>0.5812793780043081</v>
      </c>
      <c r="P39" s="315">
        <f t="shared" si="27"/>
        <v>1.348987250747952</v>
      </c>
      <c r="Q39" s="317">
        <f t="shared" si="15"/>
        <v>2.01</v>
      </c>
    </row>
    <row r="40" spans="1:17" ht="12.75">
      <c r="A40" s="313">
        <v>0.35</v>
      </c>
      <c r="B40" s="315">
        <f t="shared" si="16"/>
        <v>6.325081198488504</v>
      </c>
      <c r="C40" s="315">
        <f t="shared" si="17"/>
        <v>16.231934091721524</v>
      </c>
      <c r="D40" s="315">
        <f t="shared" si="18"/>
        <v>12.443366003200186</v>
      </c>
      <c r="E40" s="315">
        <f t="shared" si="19"/>
        <v>29.241552362725642</v>
      </c>
      <c r="F40" s="315">
        <f t="shared" si="20"/>
        <v>18.64451382811201</v>
      </c>
      <c r="G40" s="315">
        <f t="shared" si="21"/>
        <v>42.13616851944675</v>
      </c>
      <c r="H40" s="317">
        <f t="shared" si="14"/>
        <v>2.3449999999999998</v>
      </c>
      <c r="I40" s="323">
        <v>6</v>
      </c>
      <c r="J40" s="313">
        <v>0.35</v>
      </c>
      <c r="K40" s="315">
        <f t="shared" si="22"/>
        <v>0.3953175749055315</v>
      </c>
      <c r="L40" s="315">
        <f t="shared" si="23"/>
        <v>1.0144958807325952</v>
      </c>
      <c r="M40" s="315">
        <f t="shared" si="24"/>
        <v>0.5656075456000085</v>
      </c>
      <c r="N40" s="315">
        <f t="shared" si="25"/>
        <v>1.3291614710329838</v>
      </c>
      <c r="O40" s="315">
        <f t="shared" si="26"/>
        <v>0.7170966856966158</v>
      </c>
      <c r="P40" s="315">
        <f t="shared" si="27"/>
        <v>1.6206218661325673</v>
      </c>
      <c r="Q40" s="317">
        <f t="shared" si="15"/>
        <v>2.3449999999999998</v>
      </c>
    </row>
    <row r="41" spans="1:17" ht="12.75">
      <c r="A41" s="313">
        <v>0.4</v>
      </c>
      <c r="B41" s="315">
        <f t="shared" si="16"/>
        <v>7.825081198488504</v>
      </c>
      <c r="C41" s="315">
        <f t="shared" si="17"/>
        <v>19.231934091721524</v>
      </c>
      <c r="D41" s="315">
        <f t="shared" si="18"/>
        <v>14.974616003200186</v>
      </c>
      <c r="E41" s="315">
        <f t="shared" si="19"/>
        <v>34.30405236272564</v>
      </c>
      <c r="F41" s="315">
        <f t="shared" si="20"/>
        <v>22.17576382811201</v>
      </c>
      <c r="G41" s="315">
        <f t="shared" si="21"/>
        <v>49.19866851944675</v>
      </c>
      <c r="H41" s="317">
        <f t="shared" si="14"/>
        <v>2.68</v>
      </c>
      <c r="I41" s="323">
        <v>7</v>
      </c>
      <c r="J41" s="313">
        <v>0.4</v>
      </c>
      <c r="K41" s="315">
        <f t="shared" si="22"/>
        <v>0.4890675749055315</v>
      </c>
      <c r="L41" s="315">
        <f t="shared" si="23"/>
        <v>1.2019958807325952</v>
      </c>
      <c r="M41" s="315">
        <f t="shared" si="24"/>
        <v>0.6806643637818266</v>
      </c>
      <c r="N41" s="315">
        <f t="shared" si="25"/>
        <v>1.55927510739662</v>
      </c>
      <c r="O41" s="315">
        <f t="shared" si="26"/>
        <v>0.8529139933889234</v>
      </c>
      <c r="P41" s="315">
        <f t="shared" si="27"/>
        <v>1.8922564815171825</v>
      </c>
      <c r="Q41" s="317">
        <f t="shared" si="15"/>
        <v>2.68</v>
      </c>
    </row>
    <row r="42" spans="1:17" ht="12.75">
      <c r="A42" s="313">
        <v>0.45</v>
      </c>
      <c r="B42" s="315">
        <f t="shared" si="16"/>
        <v>9.325081198488505</v>
      </c>
      <c r="C42" s="315">
        <f t="shared" si="17"/>
        <v>22.231934091721524</v>
      </c>
      <c r="D42" s="315">
        <f t="shared" si="18"/>
        <v>17.505866003200186</v>
      </c>
      <c r="E42" s="315">
        <f t="shared" si="19"/>
        <v>39.36655236272564</v>
      </c>
      <c r="F42" s="315">
        <f t="shared" si="20"/>
        <v>25.70701382811201</v>
      </c>
      <c r="G42" s="315">
        <f t="shared" si="21"/>
        <v>56.26116851944675</v>
      </c>
      <c r="H42" s="317">
        <f t="shared" si="14"/>
        <v>3.015</v>
      </c>
      <c r="I42" s="323">
        <v>8</v>
      </c>
      <c r="J42" s="313">
        <v>0.45</v>
      </c>
      <c r="K42" s="315">
        <f t="shared" si="22"/>
        <v>0.5828175749055315</v>
      </c>
      <c r="L42" s="315">
        <f t="shared" si="23"/>
        <v>1.3894958807325952</v>
      </c>
      <c r="M42" s="315">
        <f t="shared" si="24"/>
        <v>0.7957211819636447</v>
      </c>
      <c r="N42" s="315">
        <f t="shared" si="25"/>
        <v>1.7893887437602563</v>
      </c>
      <c r="O42" s="315">
        <f t="shared" si="26"/>
        <v>0.9887313010812311</v>
      </c>
      <c r="P42" s="315">
        <f t="shared" si="27"/>
        <v>2.163891096901798</v>
      </c>
      <c r="Q42" s="317">
        <f t="shared" si="15"/>
        <v>3.015</v>
      </c>
    </row>
    <row r="43" spans="1:17" ht="12.75">
      <c r="A43" s="313">
        <v>0.5</v>
      </c>
      <c r="B43" s="315">
        <f t="shared" si="16"/>
        <v>10.825081198488505</v>
      </c>
      <c r="C43" s="315">
        <f t="shared" si="17"/>
        <v>25.231934091721524</v>
      </c>
      <c r="D43" s="315">
        <f t="shared" si="18"/>
        <v>20.037116003200186</v>
      </c>
      <c r="E43" s="315">
        <f t="shared" si="19"/>
        <v>44.42905236272564</v>
      </c>
      <c r="F43" s="315">
        <f t="shared" si="20"/>
        <v>29.23826382811201</v>
      </c>
      <c r="G43" s="315">
        <f t="shared" si="21"/>
        <v>63.32366851944675</v>
      </c>
      <c r="H43" s="317">
        <f t="shared" si="14"/>
        <v>3.35</v>
      </c>
      <c r="I43" s="323">
        <v>9</v>
      </c>
      <c r="J43" s="313">
        <v>0.5</v>
      </c>
      <c r="K43" s="315">
        <f t="shared" si="22"/>
        <v>0.6765675749055315</v>
      </c>
      <c r="L43" s="315">
        <f t="shared" si="23"/>
        <v>1.5769958807325952</v>
      </c>
      <c r="M43" s="315">
        <f t="shared" si="24"/>
        <v>0.9107780001454631</v>
      </c>
      <c r="N43" s="315">
        <f t="shared" si="25"/>
        <v>2.019502380123893</v>
      </c>
      <c r="O43" s="315">
        <f t="shared" si="26"/>
        <v>1.1245486087735388</v>
      </c>
      <c r="P43" s="315">
        <f t="shared" si="27"/>
        <v>2.4355257122864136</v>
      </c>
      <c r="Q43" s="317">
        <f t="shared" si="15"/>
        <v>3.35</v>
      </c>
    </row>
    <row r="44" spans="1:17" ht="12.75">
      <c r="A44" s="319">
        <v>0.55</v>
      </c>
      <c r="B44" s="320">
        <f t="shared" si="16"/>
        <v>12.325081198488505</v>
      </c>
      <c r="C44" s="320">
        <f t="shared" si="17"/>
        <v>28.231934091721524</v>
      </c>
      <c r="D44" s="320">
        <f t="shared" si="18"/>
        <v>22.568366003200186</v>
      </c>
      <c r="E44" s="320">
        <f t="shared" si="19"/>
        <v>49.49155236272564</v>
      </c>
      <c r="F44" s="320">
        <f t="shared" si="20"/>
        <v>32.76951382811201</v>
      </c>
      <c r="G44" s="320">
        <f t="shared" si="21"/>
        <v>70.38616851944676</v>
      </c>
      <c r="H44" s="321">
        <f t="shared" si="14"/>
        <v>3.6850000000000005</v>
      </c>
      <c r="I44" s="323">
        <v>10</v>
      </c>
      <c r="J44" s="319">
        <v>0.55</v>
      </c>
      <c r="K44" s="320">
        <f t="shared" si="22"/>
        <v>0.7703175749055315</v>
      </c>
      <c r="L44" s="320">
        <f t="shared" si="23"/>
        <v>1.7644958807325952</v>
      </c>
      <c r="M44" s="320">
        <f t="shared" si="24"/>
        <v>1.0258348183272812</v>
      </c>
      <c r="N44" s="320">
        <f t="shared" si="25"/>
        <v>2.249616016487529</v>
      </c>
      <c r="O44" s="320">
        <f t="shared" si="26"/>
        <v>1.2603659164658465</v>
      </c>
      <c r="P44" s="320">
        <f t="shared" si="27"/>
        <v>2.707160327671029</v>
      </c>
      <c r="Q44" s="321">
        <f t="shared" si="15"/>
        <v>3.6850000000000005</v>
      </c>
    </row>
    <row r="45" spans="1:17" ht="12.75">
      <c r="A45" s="313">
        <v>0.6</v>
      </c>
      <c r="B45" s="315">
        <f t="shared" si="16"/>
        <v>13.825081198488505</v>
      </c>
      <c r="C45" s="315">
        <f t="shared" si="17"/>
        <v>31.231934091721524</v>
      </c>
      <c r="D45" s="315">
        <f t="shared" si="18"/>
        <v>25.099616003200182</v>
      </c>
      <c r="E45" s="315">
        <f t="shared" si="19"/>
        <v>54.554052362725635</v>
      </c>
      <c r="F45" s="315">
        <f t="shared" si="20"/>
        <v>36.30076382811201</v>
      </c>
      <c r="G45" s="315">
        <f t="shared" si="21"/>
        <v>77.44866851944676</v>
      </c>
      <c r="H45" s="317">
        <f t="shared" si="14"/>
        <v>4.02</v>
      </c>
      <c r="I45" s="323">
        <v>11</v>
      </c>
      <c r="J45" s="313">
        <v>0.6</v>
      </c>
      <c r="K45" s="315">
        <f t="shared" si="22"/>
        <v>0.8640675749055315</v>
      </c>
      <c r="L45" s="315">
        <f t="shared" si="23"/>
        <v>1.9519958807325952</v>
      </c>
      <c r="M45" s="315">
        <f t="shared" si="24"/>
        <v>1.1408916365090993</v>
      </c>
      <c r="N45" s="315">
        <f t="shared" si="25"/>
        <v>2.4797296528511654</v>
      </c>
      <c r="O45" s="315">
        <f t="shared" si="26"/>
        <v>1.3961832241581542</v>
      </c>
      <c r="P45" s="315">
        <f t="shared" si="27"/>
        <v>2.9787949430556444</v>
      </c>
      <c r="Q45" s="317">
        <f t="shared" si="15"/>
        <v>4.02</v>
      </c>
    </row>
    <row r="46" spans="1:17" ht="12.75">
      <c r="A46" s="313">
        <v>0.65</v>
      </c>
      <c r="B46" s="315">
        <f t="shared" si="16"/>
        <v>15.325081198488505</v>
      </c>
      <c r="C46" s="315">
        <f t="shared" si="17"/>
        <v>34.23193409172153</v>
      </c>
      <c r="D46" s="315">
        <f t="shared" si="18"/>
        <v>27.630866003200186</v>
      </c>
      <c r="E46" s="315">
        <f t="shared" si="19"/>
        <v>59.61655236272564</v>
      </c>
      <c r="F46" s="315">
        <f t="shared" si="20"/>
        <v>39.83201382811201</v>
      </c>
      <c r="G46" s="315">
        <f t="shared" si="21"/>
        <v>84.51116851944676</v>
      </c>
      <c r="H46" s="317">
        <f t="shared" si="14"/>
        <v>4.355</v>
      </c>
      <c r="I46" s="323">
        <v>12</v>
      </c>
      <c r="J46" s="313">
        <v>0.65</v>
      </c>
      <c r="K46" s="315">
        <f t="shared" si="22"/>
        <v>0.9578175749055315</v>
      </c>
      <c r="L46" s="315">
        <f t="shared" si="23"/>
        <v>2.1394958807325954</v>
      </c>
      <c r="M46" s="315">
        <f t="shared" si="24"/>
        <v>1.2559484546909176</v>
      </c>
      <c r="N46" s="315">
        <f t="shared" si="25"/>
        <v>2.709843289214802</v>
      </c>
      <c r="O46" s="315">
        <f t="shared" si="26"/>
        <v>1.532000531850462</v>
      </c>
      <c r="P46" s="315">
        <f t="shared" si="27"/>
        <v>3.25042955844026</v>
      </c>
      <c r="Q46" s="317">
        <f t="shared" si="15"/>
        <v>4.355</v>
      </c>
    </row>
    <row r="47" spans="1:17" ht="12.75">
      <c r="A47" s="313">
        <v>0.7</v>
      </c>
      <c r="B47" s="315">
        <f t="shared" si="16"/>
        <v>16.825081198488505</v>
      </c>
      <c r="C47" s="315">
        <f t="shared" si="17"/>
        <v>37.23193409172153</v>
      </c>
      <c r="D47" s="315">
        <f t="shared" si="18"/>
        <v>30.162116003200186</v>
      </c>
      <c r="E47" s="315">
        <f t="shared" si="19"/>
        <v>64.67905236272564</v>
      </c>
      <c r="F47" s="315">
        <f t="shared" si="20"/>
        <v>43.36326382811201</v>
      </c>
      <c r="G47" s="315">
        <f t="shared" si="21"/>
        <v>91.57366851944676</v>
      </c>
      <c r="H47" s="317">
        <f t="shared" si="14"/>
        <v>4.6899999999999995</v>
      </c>
      <c r="I47" s="323">
        <v>13</v>
      </c>
      <c r="J47" s="313">
        <v>0.7</v>
      </c>
      <c r="K47" s="315">
        <f t="shared" si="22"/>
        <v>1.0515675749055315</v>
      </c>
      <c r="L47" s="315">
        <f t="shared" si="23"/>
        <v>2.3269958807325954</v>
      </c>
      <c r="M47" s="315">
        <f t="shared" si="24"/>
        <v>1.3710052728727358</v>
      </c>
      <c r="N47" s="315">
        <f t="shared" si="25"/>
        <v>2.9399569255784384</v>
      </c>
      <c r="O47" s="315">
        <f t="shared" si="26"/>
        <v>1.6678178395427696</v>
      </c>
      <c r="P47" s="315">
        <f t="shared" si="27"/>
        <v>3.5220641738248752</v>
      </c>
      <c r="Q47" s="317">
        <f t="shared" si="15"/>
        <v>4.6899999999999995</v>
      </c>
    </row>
    <row r="48" spans="1:17" ht="12.75">
      <c r="A48" s="313">
        <v>0.75</v>
      </c>
      <c r="B48" s="315">
        <f t="shared" si="16"/>
        <v>18.325081198488505</v>
      </c>
      <c r="C48" s="315">
        <f t="shared" si="17"/>
        <v>40.23193409172153</v>
      </c>
      <c r="D48" s="315">
        <f t="shared" si="18"/>
        <v>32.69336600320018</v>
      </c>
      <c r="E48" s="315">
        <f t="shared" si="19"/>
        <v>69.74155236272564</v>
      </c>
      <c r="F48" s="315">
        <f t="shared" si="20"/>
        <v>46.89451382811201</v>
      </c>
      <c r="G48" s="315">
        <f t="shared" si="21"/>
        <v>98.63616851944676</v>
      </c>
      <c r="H48" s="317">
        <f t="shared" si="14"/>
        <v>5.025</v>
      </c>
      <c r="I48" s="323">
        <v>14</v>
      </c>
      <c r="J48" s="313">
        <v>0.75</v>
      </c>
      <c r="K48" s="315">
        <f t="shared" si="22"/>
        <v>1.1453175749055315</v>
      </c>
      <c r="L48" s="315">
        <f t="shared" si="23"/>
        <v>2.5144958807325954</v>
      </c>
      <c r="M48" s="315">
        <f t="shared" si="24"/>
        <v>1.486062091054554</v>
      </c>
      <c r="N48" s="315">
        <f t="shared" si="25"/>
        <v>3.1700705619420746</v>
      </c>
      <c r="O48" s="315">
        <f t="shared" si="26"/>
        <v>1.8036351472350773</v>
      </c>
      <c r="P48" s="315">
        <f t="shared" si="27"/>
        <v>3.7936987892094907</v>
      </c>
      <c r="Q48" s="317">
        <f t="shared" si="15"/>
        <v>5.025</v>
      </c>
    </row>
    <row r="64" spans="2:13" ht="12.75">
      <c r="B64" s="95"/>
      <c r="C64" s="82"/>
      <c r="D64" s="82"/>
      <c r="E64" s="82"/>
      <c r="F64" s="82"/>
      <c r="G64" s="82"/>
      <c r="H64" s="179"/>
      <c r="I64" s="82"/>
      <c r="J64" s="82"/>
      <c r="K64" s="82"/>
      <c r="L64" s="82"/>
      <c r="M64" s="82"/>
    </row>
    <row r="65" spans="2:13" ht="12.75">
      <c r="B65" s="95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2:13" ht="12.75">
      <c r="B66" s="9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2:13" ht="12.7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2:13" ht="12.75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2:13" ht="12.75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2:13" ht="12.7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2:13" ht="12.7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2:13" ht="12.75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108" spans="1:16" ht="12.75">
      <c r="A108" s="72" t="s">
        <v>314</v>
      </c>
      <c r="B108" s="109"/>
      <c r="C108" s="267" t="s">
        <v>76</v>
      </c>
      <c r="D108" s="109"/>
      <c r="E108" s="267" t="s">
        <v>76</v>
      </c>
      <c r="F108" s="109"/>
      <c r="G108" s="279" t="s">
        <v>76</v>
      </c>
      <c r="J108" s="72" t="s">
        <v>318</v>
      </c>
      <c r="K108" s="178"/>
      <c r="L108" s="267" t="s">
        <v>76</v>
      </c>
      <c r="M108" s="109"/>
      <c r="N108" s="267" t="s">
        <v>76</v>
      </c>
      <c r="O108" s="109"/>
      <c r="P108" s="279" t="s">
        <v>76</v>
      </c>
    </row>
    <row r="109" spans="1:16" ht="12.75">
      <c r="A109" s="72" t="s">
        <v>316</v>
      </c>
      <c r="B109" s="280" t="s">
        <v>303</v>
      </c>
      <c r="C109" s="266">
        <f>Param!$B$9</f>
        <v>16</v>
      </c>
      <c r="D109" s="280" t="s">
        <v>304</v>
      </c>
      <c r="E109" s="266">
        <f>Param!$C$9</f>
        <v>22</v>
      </c>
      <c r="F109" s="280" t="s">
        <v>305</v>
      </c>
      <c r="G109" s="281">
        <f>Param!$D$9</f>
        <v>26</v>
      </c>
      <c r="J109" s="72" t="s">
        <v>316</v>
      </c>
      <c r="K109" s="280" t="s">
        <v>303</v>
      </c>
      <c r="L109" s="266">
        <f>Param!$B$9</f>
        <v>16</v>
      </c>
      <c r="M109" s="280" t="s">
        <v>304</v>
      </c>
      <c r="N109" s="266">
        <f>Param!$C$9</f>
        <v>22</v>
      </c>
      <c r="O109" s="280" t="s">
        <v>305</v>
      </c>
      <c r="P109" s="281">
        <f>Param!$D$9</f>
        <v>26</v>
      </c>
    </row>
    <row r="110" spans="1:17" ht="12.75">
      <c r="A110" s="105" t="s">
        <v>311</v>
      </c>
      <c r="B110" s="99" t="s">
        <v>50</v>
      </c>
      <c r="C110" s="76" t="s">
        <v>51</v>
      </c>
      <c r="D110" s="99" t="s">
        <v>50</v>
      </c>
      <c r="E110" s="76" t="s">
        <v>51</v>
      </c>
      <c r="F110" s="99" t="s">
        <v>50</v>
      </c>
      <c r="G110" s="99" t="s">
        <v>51</v>
      </c>
      <c r="H110" s="316" t="s">
        <v>322</v>
      </c>
      <c r="I110" s="71" t="s">
        <v>321</v>
      </c>
      <c r="J110" s="105" t="s">
        <v>311</v>
      </c>
      <c r="K110" s="99" t="s">
        <v>50</v>
      </c>
      <c r="L110" s="76" t="s">
        <v>51</v>
      </c>
      <c r="M110" s="99" t="s">
        <v>50</v>
      </c>
      <c r="N110" s="76" t="s">
        <v>51</v>
      </c>
      <c r="O110" s="99" t="s">
        <v>50</v>
      </c>
      <c r="P110" s="99" t="s">
        <v>51</v>
      </c>
      <c r="Q110" s="316" t="s">
        <v>322</v>
      </c>
    </row>
    <row r="111" spans="1:17" ht="12.75">
      <c r="A111" s="313">
        <v>0.1</v>
      </c>
      <c r="B111" s="315">
        <f aca="true" t="shared" si="28" ref="B111:B124">B17-$B$9</f>
        <v>1.9391031439506172</v>
      </c>
      <c r="C111" s="315">
        <f aca="true" t="shared" si="29" ref="C111:C124">C17-$C$9</f>
        <v>4.617185026666667</v>
      </c>
      <c r="D111" s="315">
        <f aca="true" t="shared" si="30" ref="D111:D124">D17-$D$9</f>
        <v>3.6790130037499997</v>
      </c>
      <c r="E111" s="315">
        <f aca="true" t="shared" si="31" ref="E111:E124">E17-$E$9</f>
        <v>8.2277928475</v>
      </c>
      <c r="F111" s="315">
        <f aca="true" t="shared" si="32" ref="F111:F124">F17-$F$9</f>
        <v>5.412305648194445</v>
      </c>
      <c r="G111" s="315">
        <f aca="true" t="shared" si="33" ref="G111:G124">G17-$G$9</f>
        <v>11.758524936388888</v>
      </c>
      <c r="H111" s="317">
        <f aca="true" t="shared" si="34" ref="H111:H124">A111*$H$15</f>
        <v>0.67</v>
      </c>
      <c r="I111" s="323">
        <v>1</v>
      </c>
      <c r="J111" s="313">
        <v>0.1</v>
      </c>
      <c r="K111" s="315">
        <f aca="true" t="shared" si="35" ref="K111:K124">K17-$K$9</f>
        <v>0.12119394649691358</v>
      </c>
      <c r="L111" s="315">
        <f aca="true" t="shared" si="36" ref="L111:L124">L17-$L$9</f>
        <v>0.2885740641666667</v>
      </c>
      <c r="M111" s="315">
        <f aca="true" t="shared" si="37" ref="M111:M124">M17-$M$9</f>
        <v>0.16722786380681817</v>
      </c>
      <c r="N111" s="315">
        <f aca="true" t="shared" si="38" ref="N111:N124">N17-$N$9</f>
        <v>0.3739905839772727</v>
      </c>
      <c r="O111" s="315">
        <f aca="true" t="shared" si="39" ref="O111:O124">O17-$O$9</f>
        <v>0.20816560185363248</v>
      </c>
      <c r="P111" s="315">
        <f aca="true" t="shared" si="40" ref="P111:P124">P17-$P$9</f>
        <v>0.4522509590918803</v>
      </c>
      <c r="Q111" s="317">
        <f aca="true" t="shared" si="41" ref="Q111:Q124">J111*$H$15</f>
        <v>0.67</v>
      </c>
    </row>
    <row r="112" spans="1:17" ht="12.75">
      <c r="A112" s="313">
        <v>0.15</v>
      </c>
      <c r="B112" s="315">
        <f t="shared" si="28"/>
        <v>3.439103143950617</v>
      </c>
      <c r="C112" s="315">
        <f t="shared" si="29"/>
        <v>7.617185026666667</v>
      </c>
      <c r="D112" s="315">
        <f t="shared" si="30"/>
        <v>6.210263003749999</v>
      </c>
      <c r="E112" s="315">
        <f t="shared" si="31"/>
        <v>13.290292847499998</v>
      </c>
      <c r="F112" s="315">
        <f t="shared" si="32"/>
        <v>8.943555648194444</v>
      </c>
      <c r="G112" s="315">
        <f t="shared" si="33"/>
        <v>18.821024936388888</v>
      </c>
      <c r="H112" s="317">
        <f t="shared" si="34"/>
        <v>1.005</v>
      </c>
      <c r="I112" s="323">
        <v>2</v>
      </c>
      <c r="J112" s="313">
        <v>0.15</v>
      </c>
      <c r="K112" s="315">
        <f t="shared" si="35"/>
        <v>0.21494394649691356</v>
      </c>
      <c r="L112" s="315">
        <f t="shared" si="36"/>
        <v>0.4760740641666667</v>
      </c>
      <c r="M112" s="315">
        <f t="shared" si="37"/>
        <v>0.2822846819886363</v>
      </c>
      <c r="N112" s="315">
        <f t="shared" si="38"/>
        <v>0.604104220340909</v>
      </c>
      <c r="O112" s="315">
        <f t="shared" si="39"/>
        <v>0.3439829095459402</v>
      </c>
      <c r="P112" s="315">
        <f t="shared" si="40"/>
        <v>0.7238855744764957</v>
      </c>
      <c r="Q112" s="317">
        <f t="shared" si="41"/>
        <v>1.005</v>
      </c>
    </row>
    <row r="113" spans="1:17" ht="12.75">
      <c r="A113" s="313">
        <v>0.2</v>
      </c>
      <c r="B113" s="315">
        <f t="shared" si="28"/>
        <v>4.939103143950617</v>
      </c>
      <c r="C113" s="315">
        <f t="shared" si="29"/>
        <v>10.617185026666666</v>
      </c>
      <c r="D113" s="315">
        <f t="shared" si="30"/>
        <v>8.74151300375</v>
      </c>
      <c r="E113" s="315">
        <f t="shared" si="31"/>
        <v>18.3527928475</v>
      </c>
      <c r="F113" s="315">
        <f t="shared" si="32"/>
        <v>12.474805648194444</v>
      </c>
      <c r="G113" s="315">
        <f t="shared" si="33"/>
        <v>25.883524936388888</v>
      </c>
      <c r="H113" s="317">
        <f t="shared" si="34"/>
        <v>1.34</v>
      </c>
      <c r="I113" s="323">
        <v>3</v>
      </c>
      <c r="J113" s="313">
        <v>0.2</v>
      </c>
      <c r="K113" s="315">
        <f t="shared" si="35"/>
        <v>0.30869394649691356</v>
      </c>
      <c r="L113" s="315">
        <f t="shared" si="36"/>
        <v>0.6635740641666666</v>
      </c>
      <c r="M113" s="315">
        <f t="shared" si="37"/>
        <v>0.39734150017045455</v>
      </c>
      <c r="N113" s="315">
        <f t="shared" si="38"/>
        <v>0.8342178567045454</v>
      </c>
      <c r="O113" s="315">
        <f t="shared" si="39"/>
        <v>0.47980021723824784</v>
      </c>
      <c r="P113" s="315">
        <f t="shared" si="40"/>
        <v>0.995520189861111</v>
      </c>
      <c r="Q113" s="317">
        <f t="shared" si="41"/>
        <v>1.34</v>
      </c>
    </row>
    <row r="114" spans="1:17" ht="12.75">
      <c r="A114" s="313">
        <v>0.25</v>
      </c>
      <c r="B114" s="315">
        <f t="shared" si="28"/>
        <v>6.439103143950617</v>
      </c>
      <c r="C114" s="315">
        <f t="shared" si="29"/>
        <v>13.617185026666666</v>
      </c>
      <c r="D114" s="315">
        <f t="shared" si="30"/>
        <v>11.27276300375</v>
      </c>
      <c r="E114" s="315">
        <f t="shared" si="31"/>
        <v>23.4152928475</v>
      </c>
      <c r="F114" s="315">
        <f t="shared" si="32"/>
        <v>16.006055648194444</v>
      </c>
      <c r="G114" s="315">
        <f t="shared" si="33"/>
        <v>32.94602493638889</v>
      </c>
      <c r="H114" s="317">
        <f t="shared" si="34"/>
        <v>1.675</v>
      </c>
      <c r="I114" s="323">
        <v>4</v>
      </c>
      <c r="J114" s="313">
        <v>0.25</v>
      </c>
      <c r="K114" s="315">
        <f t="shared" si="35"/>
        <v>0.40244394649691356</v>
      </c>
      <c r="L114" s="315">
        <f t="shared" si="36"/>
        <v>0.8510740641666666</v>
      </c>
      <c r="M114" s="315">
        <f t="shared" si="37"/>
        <v>0.5123983183522728</v>
      </c>
      <c r="N114" s="315">
        <f t="shared" si="38"/>
        <v>1.064331493068182</v>
      </c>
      <c r="O114" s="315">
        <f t="shared" si="39"/>
        <v>0.6156175249305555</v>
      </c>
      <c r="P114" s="315">
        <f t="shared" si="40"/>
        <v>1.2671548052457264</v>
      </c>
      <c r="Q114" s="317">
        <f t="shared" si="41"/>
        <v>1.675</v>
      </c>
    </row>
    <row r="115" spans="1:17" ht="12.75">
      <c r="A115" s="313">
        <v>0.3</v>
      </c>
      <c r="B115" s="315">
        <f t="shared" si="28"/>
        <v>7.939103143950617</v>
      </c>
      <c r="C115" s="315">
        <f t="shared" si="29"/>
        <v>16.617185026666668</v>
      </c>
      <c r="D115" s="315">
        <f t="shared" si="30"/>
        <v>13.804013003749999</v>
      </c>
      <c r="E115" s="315">
        <f t="shared" si="31"/>
        <v>28.477792847499998</v>
      </c>
      <c r="F115" s="315">
        <f t="shared" si="32"/>
        <v>19.537305648194444</v>
      </c>
      <c r="G115" s="315">
        <f t="shared" si="33"/>
        <v>40.00852493638889</v>
      </c>
      <c r="H115" s="317">
        <f t="shared" si="34"/>
        <v>2.01</v>
      </c>
      <c r="I115" s="323">
        <v>5</v>
      </c>
      <c r="J115" s="313">
        <v>0.3</v>
      </c>
      <c r="K115" s="315">
        <f t="shared" si="35"/>
        <v>0.49619394649691356</v>
      </c>
      <c r="L115" s="315">
        <f t="shared" si="36"/>
        <v>1.0385740641666668</v>
      </c>
      <c r="M115" s="315">
        <f t="shared" si="37"/>
        <v>0.6274551365340909</v>
      </c>
      <c r="N115" s="315">
        <f t="shared" si="38"/>
        <v>1.2944451294318182</v>
      </c>
      <c r="O115" s="315">
        <f t="shared" si="39"/>
        <v>0.7514348326228633</v>
      </c>
      <c r="P115" s="315">
        <f t="shared" si="40"/>
        <v>1.5387894206303419</v>
      </c>
      <c r="Q115" s="317">
        <f t="shared" si="41"/>
        <v>2.01</v>
      </c>
    </row>
    <row r="116" spans="1:17" ht="12.75">
      <c r="A116" s="313">
        <v>0.35</v>
      </c>
      <c r="B116" s="315">
        <f t="shared" si="28"/>
        <v>9.439103143950618</v>
      </c>
      <c r="C116" s="315">
        <f t="shared" si="29"/>
        <v>19.617185026666668</v>
      </c>
      <c r="D116" s="315">
        <f t="shared" si="30"/>
        <v>16.33526300375</v>
      </c>
      <c r="E116" s="315">
        <f t="shared" si="31"/>
        <v>33.5402928475</v>
      </c>
      <c r="F116" s="315">
        <f t="shared" si="32"/>
        <v>23.068555648194444</v>
      </c>
      <c r="G116" s="315">
        <f t="shared" si="33"/>
        <v>47.07102493638889</v>
      </c>
      <c r="H116" s="317">
        <f t="shared" si="34"/>
        <v>2.3449999999999998</v>
      </c>
      <c r="I116" s="323">
        <v>6</v>
      </c>
      <c r="J116" s="313">
        <v>0.35</v>
      </c>
      <c r="K116" s="315">
        <f t="shared" si="35"/>
        <v>0.5899439464969136</v>
      </c>
      <c r="L116" s="315">
        <f t="shared" si="36"/>
        <v>1.2260740641666668</v>
      </c>
      <c r="M116" s="315">
        <f t="shared" si="37"/>
        <v>0.7425119547159091</v>
      </c>
      <c r="N116" s="315">
        <f t="shared" si="38"/>
        <v>1.5245587657954547</v>
      </c>
      <c r="O116" s="315">
        <f t="shared" si="39"/>
        <v>0.887252140315171</v>
      </c>
      <c r="P116" s="315">
        <f t="shared" si="40"/>
        <v>1.8104240360149573</v>
      </c>
      <c r="Q116" s="317">
        <f t="shared" si="41"/>
        <v>2.3449999999999998</v>
      </c>
    </row>
    <row r="117" spans="1:17" ht="12.75">
      <c r="A117" s="313">
        <v>0.4</v>
      </c>
      <c r="B117" s="315">
        <f t="shared" si="28"/>
        <v>10.939103143950618</v>
      </c>
      <c r="C117" s="315">
        <f t="shared" si="29"/>
        <v>22.617185026666668</v>
      </c>
      <c r="D117" s="315">
        <f t="shared" si="30"/>
        <v>18.86651300375</v>
      </c>
      <c r="E117" s="315">
        <f t="shared" si="31"/>
        <v>38.6027928475</v>
      </c>
      <c r="F117" s="315">
        <f t="shared" si="32"/>
        <v>26.599805648194444</v>
      </c>
      <c r="G117" s="315">
        <f t="shared" si="33"/>
        <v>54.13352493638889</v>
      </c>
      <c r="H117" s="317">
        <f t="shared" si="34"/>
        <v>2.68</v>
      </c>
      <c r="I117" s="323">
        <v>7</v>
      </c>
      <c r="J117" s="313">
        <v>0.4</v>
      </c>
      <c r="K117" s="315">
        <f t="shared" si="35"/>
        <v>0.6836939464969136</v>
      </c>
      <c r="L117" s="315">
        <f t="shared" si="36"/>
        <v>1.4135740641666668</v>
      </c>
      <c r="M117" s="315">
        <f t="shared" si="37"/>
        <v>0.8575687728977273</v>
      </c>
      <c r="N117" s="315">
        <f t="shared" si="38"/>
        <v>1.754672402159091</v>
      </c>
      <c r="O117" s="315">
        <f t="shared" si="39"/>
        <v>1.0230694480074785</v>
      </c>
      <c r="P117" s="315">
        <f t="shared" si="40"/>
        <v>2.0820586513995725</v>
      </c>
      <c r="Q117" s="317">
        <f t="shared" si="41"/>
        <v>2.68</v>
      </c>
    </row>
    <row r="118" spans="1:17" ht="12.75">
      <c r="A118" s="313">
        <v>0.45</v>
      </c>
      <c r="B118" s="315">
        <f t="shared" si="28"/>
        <v>12.439103143950618</v>
      </c>
      <c r="C118" s="315">
        <f t="shared" si="29"/>
        <v>25.617185026666668</v>
      </c>
      <c r="D118" s="315">
        <f t="shared" si="30"/>
        <v>21.39776300375</v>
      </c>
      <c r="E118" s="315">
        <f t="shared" si="31"/>
        <v>43.6652928475</v>
      </c>
      <c r="F118" s="315">
        <f t="shared" si="32"/>
        <v>30.131055648194444</v>
      </c>
      <c r="G118" s="315">
        <f t="shared" si="33"/>
        <v>61.19602493638889</v>
      </c>
      <c r="H118" s="317">
        <f t="shared" si="34"/>
        <v>3.015</v>
      </c>
      <c r="I118" s="323">
        <v>8</v>
      </c>
      <c r="J118" s="313">
        <v>0.45</v>
      </c>
      <c r="K118" s="315">
        <f t="shared" si="35"/>
        <v>0.7774439464969136</v>
      </c>
      <c r="L118" s="315">
        <f t="shared" si="36"/>
        <v>1.6010740641666668</v>
      </c>
      <c r="M118" s="315">
        <f t="shared" si="37"/>
        <v>0.9726255910795454</v>
      </c>
      <c r="N118" s="315">
        <f t="shared" si="38"/>
        <v>1.9847860385227272</v>
      </c>
      <c r="O118" s="315">
        <f t="shared" si="39"/>
        <v>1.1588867556997862</v>
      </c>
      <c r="P118" s="315">
        <f t="shared" si="40"/>
        <v>2.353693266784188</v>
      </c>
      <c r="Q118" s="317">
        <f t="shared" si="41"/>
        <v>3.015</v>
      </c>
    </row>
    <row r="119" spans="1:17" ht="12.75">
      <c r="A119" s="313">
        <v>0.5</v>
      </c>
      <c r="B119" s="315">
        <f t="shared" si="28"/>
        <v>13.939103143950618</v>
      </c>
      <c r="C119" s="315">
        <f t="shared" si="29"/>
        <v>28.617185026666668</v>
      </c>
      <c r="D119" s="315">
        <f t="shared" si="30"/>
        <v>23.92901300375</v>
      </c>
      <c r="E119" s="315">
        <f t="shared" si="31"/>
        <v>48.7277928475</v>
      </c>
      <c r="F119" s="315">
        <f t="shared" si="32"/>
        <v>33.66230564819445</v>
      </c>
      <c r="G119" s="315">
        <f t="shared" si="33"/>
        <v>68.2585249363889</v>
      </c>
      <c r="H119" s="317">
        <f t="shared" si="34"/>
        <v>3.35</v>
      </c>
      <c r="I119" s="323">
        <v>9</v>
      </c>
      <c r="J119" s="313">
        <v>0.5</v>
      </c>
      <c r="K119" s="315">
        <f t="shared" si="35"/>
        <v>0.8711939464969136</v>
      </c>
      <c r="L119" s="315">
        <f t="shared" si="36"/>
        <v>1.7885740641666668</v>
      </c>
      <c r="M119" s="315">
        <f t="shared" si="37"/>
        <v>1.0876824092613637</v>
      </c>
      <c r="N119" s="315">
        <f t="shared" si="38"/>
        <v>2.2148996748863636</v>
      </c>
      <c r="O119" s="315">
        <f t="shared" si="39"/>
        <v>1.2947040633920939</v>
      </c>
      <c r="P119" s="315">
        <f t="shared" si="40"/>
        <v>2.6253278821688033</v>
      </c>
      <c r="Q119" s="317">
        <f t="shared" si="41"/>
        <v>3.35</v>
      </c>
    </row>
    <row r="120" spans="1:17" ht="12.75">
      <c r="A120" s="319">
        <v>0.55</v>
      </c>
      <c r="B120" s="320">
        <f t="shared" si="28"/>
        <v>15.439103143950618</v>
      </c>
      <c r="C120" s="320">
        <f t="shared" si="29"/>
        <v>31.617185026666668</v>
      </c>
      <c r="D120" s="320">
        <f t="shared" si="30"/>
        <v>26.46026300375</v>
      </c>
      <c r="E120" s="320">
        <f t="shared" si="31"/>
        <v>53.7902928475</v>
      </c>
      <c r="F120" s="320">
        <f t="shared" si="32"/>
        <v>37.19355564819445</v>
      </c>
      <c r="G120" s="320">
        <f t="shared" si="33"/>
        <v>75.3210249363889</v>
      </c>
      <c r="H120" s="321">
        <f t="shared" si="34"/>
        <v>3.6850000000000005</v>
      </c>
      <c r="I120" s="323">
        <v>10</v>
      </c>
      <c r="J120" s="319">
        <v>0.55</v>
      </c>
      <c r="K120" s="320">
        <f t="shared" si="35"/>
        <v>0.9649439464969136</v>
      </c>
      <c r="L120" s="320">
        <f t="shared" si="36"/>
        <v>1.9760740641666668</v>
      </c>
      <c r="M120" s="320">
        <f t="shared" si="37"/>
        <v>1.2027392274431818</v>
      </c>
      <c r="N120" s="320">
        <f t="shared" si="38"/>
        <v>2.44501331125</v>
      </c>
      <c r="O120" s="320">
        <f t="shared" si="39"/>
        <v>1.4305213710844016</v>
      </c>
      <c r="P120" s="320">
        <f t="shared" si="40"/>
        <v>2.8969624975534187</v>
      </c>
      <c r="Q120" s="321">
        <f t="shared" si="41"/>
        <v>3.6850000000000005</v>
      </c>
    </row>
    <row r="121" spans="1:17" ht="12.75">
      <c r="A121" s="313">
        <v>0.6</v>
      </c>
      <c r="B121" s="315">
        <f t="shared" si="28"/>
        <v>16.939103143950618</v>
      </c>
      <c r="C121" s="315">
        <f t="shared" si="29"/>
        <v>34.61718502666667</v>
      </c>
      <c r="D121" s="315">
        <f t="shared" si="30"/>
        <v>28.991513003749997</v>
      </c>
      <c r="E121" s="315">
        <f t="shared" si="31"/>
        <v>58.85279284749999</v>
      </c>
      <c r="F121" s="315">
        <f t="shared" si="32"/>
        <v>40.72480564819445</v>
      </c>
      <c r="G121" s="315">
        <f t="shared" si="33"/>
        <v>82.3835249363889</v>
      </c>
      <c r="H121" s="317">
        <f t="shared" si="34"/>
        <v>4.02</v>
      </c>
      <c r="I121" s="323">
        <v>11</v>
      </c>
      <c r="J121" s="313">
        <v>0.6</v>
      </c>
      <c r="K121" s="315">
        <f t="shared" si="35"/>
        <v>1.0586939464969136</v>
      </c>
      <c r="L121" s="315">
        <f t="shared" si="36"/>
        <v>2.1635740641666668</v>
      </c>
      <c r="M121" s="315">
        <f t="shared" si="37"/>
        <v>1.317796045625</v>
      </c>
      <c r="N121" s="315">
        <f t="shared" si="38"/>
        <v>2.675126947613636</v>
      </c>
      <c r="O121" s="315">
        <f t="shared" si="39"/>
        <v>1.5663386787767093</v>
      </c>
      <c r="P121" s="315">
        <f t="shared" si="40"/>
        <v>3.168597112938034</v>
      </c>
      <c r="Q121" s="317">
        <f t="shared" si="41"/>
        <v>4.02</v>
      </c>
    </row>
    <row r="122" spans="1:17" ht="12.75">
      <c r="A122" s="313">
        <v>0.65</v>
      </c>
      <c r="B122" s="315">
        <f t="shared" si="28"/>
        <v>18.439103143950618</v>
      </c>
      <c r="C122" s="315">
        <f t="shared" si="29"/>
        <v>37.61718502666667</v>
      </c>
      <c r="D122" s="315">
        <f t="shared" si="30"/>
        <v>31.52276300375</v>
      </c>
      <c r="E122" s="315">
        <f t="shared" si="31"/>
        <v>63.9152928475</v>
      </c>
      <c r="F122" s="315">
        <f t="shared" si="32"/>
        <v>44.25605564819445</v>
      </c>
      <c r="G122" s="315">
        <f t="shared" si="33"/>
        <v>89.4460249363889</v>
      </c>
      <c r="H122" s="317">
        <f t="shared" si="34"/>
        <v>4.355</v>
      </c>
      <c r="I122" s="323">
        <v>12</v>
      </c>
      <c r="J122" s="313">
        <v>0.65</v>
      </c>
      <c r="K122" s="315">
        <f t="shared" si="35"/>
        <v>1.1524439464969136</v>
      </c>
      <c r="L122" s="315">
        <f t="shared" si="36"/>
        <v>2.3510740641666668</v>
      </c>
      <c r="M122" s="315">
        <f t="shared" si="37"/>
        <v>1.4328528638068183</v>
      </c>
      <c r="N122" s="315">
        <f t="shared" si="38"/>
        <v>2.905240583977273</v>
      </c>
      <c r="O122" s="315">
        <f t="shared" si="39"/>
        <v>1.702155986469017</v>
      </c>
      <c r="P122" s="315">
        <f t="shared" si="40"/>
        <v>3.4402317283226496</v>
      </c>
      <c r="Q122" s="317">
        <f t="shared" si="41"/>
        <v>4.355</v>
      </c>
    </row>
    <row r="123" spans="1:17" ht="12.75">
      <c r="A123" s="313">
        <v>0.7</v>
      </c>
      <c r="B123" s="315">
        <f t="shared" si="28"/>
        <v>19.939103143950618</v>
      </c>
      <c r="C123" s="315">
        <f t="shared" si="29"/>
        <v>40.61718502666667</v>
      </c>
      <c r="D123" s="315">
        <f t="shared" si="30"/>
        <v>34.05401300375</v>
      </c>
      <c r="E123" s="315">
        <f t="shared" si="31"/>
        <v>68.9777928475</v>
      </c>
      <c r="F123" s="315">
        <f t="shared" si="32"/>
        <v>47.78730564819445</v>
      </c>
      <c r="G123" s="315">
        <f t="shared" si="33"/>
        <v>96.5085249363889</v>
      </c>
      <c r="H123" s="317">
        <f t="shared" si="34"/>
        <v>4.6899999999999995</v>
      </c>
      <c r="I123" s="323">
        <v>13</v>
      </c>
      <c r="J123" s="313">
        <v>0.7</v>
      </c>
      <c r="K123" s="315">
        <f t="shared" si="35"/>
        <v>1.2461939464969136</v>
      </c>
      <c r="L123" s="315">
        <f t="shared" si="36"/>
        <v>2.5385740641666668</v>
      </c>
      <c r="M123" s="315">
        <f t="shared" si="37"/>
        <v>1.5479096819886364</v>
      </c>
      <c r="N123" s="315">
        <f t="shared" si="38"/>
        <v>3.135354220340909</v>
      </c>
      <c r="O123" s="315">
        <f t="shared" si="39"/>
        <v>1.8379732941613247</v>
      </c>
      <c r="P123" s="315">
        <f t="shared" si="40"/>
        <v>3.711866343707265</v>
      </c>
      <c r="Q123" s="317">
        <f t="shared" si="41"/>
        <v>4.6899999999999995</v>
      </c>
    </row>
    <row r="124" spans="1:17" ht="12.75">
      <c r="A124" s="313">
        <v>0.75</v>
      </c>
      <c r="B124" s="315">
        <f t="shared" si="28"/>
        <v>21.439103143950618</v>
      </c>
      <c r="C124" s="315">
        <f t="shared" si="29"/>
        <v>43.61718502666667</v>
      </c>
      <c r="D124" s="315">
        <f t="shared" si="30"/>
        <v>36.58526300375</v>
      </c>
      <c r="E124" s="315">
        <f t="shared" si="31"/>
        <v>74.0402928475</v>
      </c>
      <c r="F124" s="315">
        <f t="shared" si="32"/>
        <v>51.31855564819445</v>
      </c>
      <c r="G124" s="315">
        <f t="shared" si="33"/>
        <v>103.5710249363889</v>
      </c>
      <c r="H124" s="317">
        <f t="shared" si="34"/>
        <v>5.025</v>
      </c>
      <c r="I124" s="323">
        <v>14</v>
      </c>
      <c r="J124" s="313">
        <v>0.75</v>
      </c>
      <c r="K124" s="315">
        <f t="shared" si="35"/>
        <v>1.3399439464969136</v>
      </c>
      <c r="L124" s="315">
        <f t="shared" si="36"/>
        <v>2.7260740641666668</v>
      </c>
      <c r="M124" s="315">
        <f t="shared" si="37"/>
        <v>1.6629665001704546</v>
      </c>
      <c r="N124" s="315">
        <f t="shared" si="38"/>
        <v>3.3654678567045453</v>
      </c>
      <c r="O124" s="315">
        <f t="shared" si="39"/>
        <v>1.9737906018536324</v>
      </c>
      <c r="P124" s="315">
        <f t="shared" si="40"/>
        <v>3.9835009590918804</v>
      </c>
      <c r="Q124" s="317">
        <f t="shared" si="41"/>
        <v>5.025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workbookViewId="0" topLeftCell="A19">
      <selection activeCell="I5" sqref="I5:I10"/>
    </sheetView>
  </sheetViews>
  <sheetFormatPr defaultColWidth="9.140625" defaultRowHeight="12.75"/>
  <cols>
    <col min="1" max="1" width="30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190</v>
      </c>
      <c r="B1" s="129"/>
      <c r="C1" s="129"/>
      <c r="D1" s="73"/>
      <c r="E1" s="73"/>
      <c r="F1" s="73"/>
      <c r="G1" s="73"/>
      <c r="H1" s="73"/>
      <c r="I1" s="73"/>
      <c r="J1" s="73"/>
    </row>
    <row r="2" spans="1:9" ht="12.75">
      <c r="A2" s="95" t="s">
        <v>189</v>
      </c>
      <c r="B2" s="95"/>
      <c r="C2" s="95"/>
      <c r="I2" s="71" t="s">
        <v>82</v>
      </c>
    </row>
    <row r="3" spans="1:9" ht="12.75">
      <c r="A3" s="74" t="s">
        <v>52</v>
      </c>
      <c r="B3" s="98" t="s">
        <v>73</v>
      </c>
      <c r="C3" s="75">
        <f>Param!B9</f>
        <v>16</v>
      </c>
      <c r="D3" s="98" t="s">
        <v>74</v>
      </c>
      <c r="E3" s="75">
        <f>Param!C9</f>
        <v>22</v>
      </c>
      <c r="F3" s="98" t="s">
        <v>75</v>
      </c>
      <c r="G3" s="75">
        <f>Param!D9</f>
        <v>26</v>
      </c>
      <c r="I3" s="71" t="s">
        <v>122</v>
      </c>
    </row>
    <row r="4" spans="1:9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I4" s="71" t="s">
        <v>123</v>
      </c>
    </row>
    <row r="5" spans="1:9" ht="12.75">
      <c r="A5" s="73" t="s">
        <v>187</v>
      </c>
      <c r="C5" s="2"/>
      <c r="D5" s="2"/>
      <c r="E5" s="2"/>
      <c r="F5" s="2"/>
      <c r="G5" s="2"/>
      <c r="I5" t="s">
        <v>84</v>
      </c>
    </row>
    <row r="6" spans="1:9" ht="12.75">
      <c r="A6" s="15" t="s">
        <v>23</v>
      </c>
      <c r="B6" s="2">
        <f>1Low!$D$48</f>
        <v>1.0941808066666667</v>
      </c>
      <c r="C6" s="2">
        <f>1High!$D$48</f>
        <v>1.398814973333333</v>
      </c>
      <c r="D6" s="2">
        <f>2Low!$D$48</f>
        <v>1.40548699625</v>
      </c>
      <c r="E6" s="2">
        <f>2High!$D$48</f>
        <v>1.9192071524999998</v>
      </c>
      <c r="F6" s="2">
        <f>3Low!$D$48</f>
        <v>1.6761943518055555</v>
      </c>
      <c r="G6" s="2">
        <f>3High!$D$48</f>
        <v>2.392475063611111</v>
      </c>
      <c r="I6" t="s">
        <v>85</v>
      </c>
    </row>
    <row r="7" spans="1:9" ht="12.75">
      <c r="A7" s="15" t="s">
        <v>9</v>
      </c>
      <c r="B7" s="2">
        <f>1Low!$I$64</f>
        <v>2.104878333333333</v>
      </c>
      <c r="C7" s="2">
        <f>1High!$I$64</f>
        <v>2.2882116666666668</v>
      </c>
      <c r="D7" s="2">
        <f>2Low!$I$64</f>
        <v>2.6306717857142856</v>
      </c>
      <c r="E7" s="2">
        <f>2High!$I$64</f>
        <v>2.905671785714286</v>
      </c>
      <c r="F7" s="2">
        <f>3Low!$I$64</f>
        <v>2.990367420634921</v>
      </c>
      <c r="G7" s="2">
        <f>3High!$I$64</f>
        <v>3.335645198412699</v>
      </c>
      <c r="I7" t="s">
        <v>247</v>
      </c>
    </row>
    <row r="8" spans="1:9" ht="12.75">
      <c r="A8" s="15" t="s">
        <v>55</v>
      </c>
      <c r="B8" s="2">
        <f>1Low!$I$65</f>
        <v>1.0091436121287805</v>
      </c>
      <c r="C8" s="2">
        <f>1High!$I$65</f>
        <v>1.0970392682784755</v>
      </c>
      <c r="D8" s="2">
        <f>2Low!$I$65</f>
        <v>1.261225214835529</v>
      </c>
      <c r="E8" s="2">
        <f>2High!$I$65</f>
        <v>1.3930686990600716</v>
      </c>
      <c r="F8" s="2">
        <f>3Low!$I$65</f>
        <v>1.433674399447513</v>
      </c>
      <c r="G8" s="2">
        <f>3High!$I$65</f>
        <v>1.5992112185294385</v>
      </c>
      <c r="I8" t="s">
        <v>86</v>
      </c>
    </row>
    <row r="9" spans="1:9" ht="12.75">
      <c r="A9" s="127" t="s">
        <v>218</v>
      </c>
      <c r="B9" s="2"/>
      <c r="C9" s="2"/>
      <c r="D9" s="2"/>
      <c r="E9" s="2"/>
      <c r="F9" s="2"/>
      <c r="G9" s="2"/>
      <c r="I9" t="s">
        <v>248</v>
      </c>
    </row>
    <row r="10" spans="1:9" ht="12.75">
      <c r="A10" s="15" t="s">
        <v>23</v>
      </c>
      <c r="B10" s="2">
        <f>1Low!$D$48</f>
        <v>1.0941808066666667</v>
      </c>
      <c r="C10" s="2">
        <f>1High!$D$48</f>
        <v>1.398814973333333</v>
      </c>
      <c r="D10" s="2">
        <f>2Low!$D$48</f>
        <v>1.40548699625</v>
      </c>
      <c r="E10" s="2">
        <f>2High!$D$48</f>
        <v>1.9192071524999998</v>
      </c>
      <c r="F10" s="2">
        <f>3Low!$D$48</f>
        <v>1.6761943518055555</v>
      </c>
      <c r="G10" s="2">
        <f>3High!$D$48</f>
        <v>2.392475063611111</v>
      </c>
      <c r="I10" t="s">
        <v>87</v>
      </c>
    </row>
    <row r="11" spans="1:7" ht="12.75">
      <c r="A11" s="15" t="s">
        <v>9</v>
      </c>
      <c r="B11" s="2">
        <f>1Low!$I$72</f>
        <v>4.533584102564102</v>
      </c>
      <c r="C11" s="2">
        <f>1High!$I$72</f>
        <v>4.928455897435898</v>
      </c>
      <c r="D11" s="2">
        <f>2Low!$I$72</f>
        <v>5.666062307692308</v>
      </c>
      <c r="E11" s="2">
        <f>2High!$I$72</f>
        <v>6.25837</v>
      </c>
      <c r="F11" s="2">
        <f>3Low!$I$72</f>
        <v>6.440791367521369</v>
      </c>
      <c r="G11" s="2">
        <f>3High!$I$72</f>
        <v>7.184466581196583</v>
      </c>
    </row>
    <row r="12" spans="1:15" ht="12.75">
      <c r="A12" s="15" t="s">
        <v>55</v>
      </c>
      <c r="B12" s="2">
        <f>1Low!$I$73</f>
        <v>3.3273104730125285</v>
      </c>
      <c r="C12" s="2">
        <f>1High!$I$73</f>
        <v>3.6171167342068635</v>
      </c>
      <c r="D12" s="2">
        <f>2Low!$I$73</f>
        <v>4.158464479894268</v>
      </c>
      <c r="E12" s="2">
        <f>2High!$I$73</f>
        <v>4.59317387168577</v>
      </c>
      <c r="F12" s="2">
        <f>3Low!$I$73</f>
        <v>4.727057464208477</v>
      </c>
      <c r="G12" s="2">
        <f>3High!$I$73</f>
        <v>5.272859256124476</v>
      </c>
      <c r="I12" s="99" t="s">
        <v>83</v>
      </c>
      <c r="J12" s="77"/>
      <c r="K12" s="77"/>
      <c r="L12" s="77"/>
      <c r="M12" s="77"/>
      <c r="N12" s="77"/>
      <c r="O12" s="77"/>
    </row>
    <row r="13" spans="1:15" ht="12.75">
      <c r="A13" s="128" t="s">
        <v>219</v>
      </c>
      <c r="B13" s="2"/>
      <c r="C13" s="2"/>
      <c r="D13" s="2"/>
      <c r="E13" s="2"/>
      <c r="F13" s="2"/>
      <c r="G13" s="2"/>
      <c r="I13" s="77" t="s">
        <v>88</v>
      </c>
      <c r="J13" s="77"/>
      <c r="K13" s="77"/>
      <c r="L13" s="77"/>
      <c r="M13" s="77"/>
      <c r="N13" s="77"/>
      <c r="O13" s="77"/>
    </row>
    <row r="14" spans="1:15" ht="12.75">
      <c r="A14" s="15" t="s">
        <v>23</v>
      </c>
      <c r="B14" s="2">
        <f>1Low!$D$48</f>
        <v>1.0941808066666667</v>
      </c>
      <c r="C14" s="2">
        <f>1High!$D$48</f>
        <v>1.398814973333333</v>
      </c>
      <c r="D14" s="2">
        <f>2Low!$D$48</f>
        <v>1.40548699625</v>
      </c>
      <c r="E14" s="2">
        <f>2High!$D$48</f>
        <v>1.9192071524999998</v>
      </c>
      <c r="F14" s="2">
        <f>3Low!$D$48</f>
        <v>1.6761943518055555</v>
      </c>
      <c r="G14" s="2">
        <f>3High!$D$48</f>
        <v>2.392475063611111</v>
      </c>
      <c r="I14" s="77" t="s">
        <v>89</v>
      </c>
      <c r="J14" s="77"/>
      <c r="K14" s="77"/>
      <c r="L14" s="77"/>
      <c r="M14" s="77"/>
      <c r="N14" s="77"/>
      <c r="O14" s="77"/>
    </row>
    <row r="15" spans="1:7" ht="12.75">
      <c r="A15" s="15" t="s">
        <v>9</v>
      </c>
      <c r="B15" s="2">
        <f>1Low!$D$55</f>
        <v>1.1302112935472584</v>
      </c>
      <c r="C15" s="2">
        <f>1High!$D$55</f>
        <v>1.300951534462938</v>
      </c>
      <c r="D15" s="2">
        <f>2Low!$D$55</f>
        <v>1.450682729794572</v>
      </c>
      <c r="E15" s="2">
        <f>2High!$D$55</f>
        <v>1.7067930911680913</v>
      </c>
      <c r="F15" s="2">
        <f>3Low!$D$55</f>
        <v>1.6728673660052316</v>
      </c>
      <c r="G15" s="2">
        <f>3High!$D$55</f>
        <v>1.9944281530630947</v>
      </c>
    </row>
    <row r="16" spans="1:7" ht="12.75">
      <c r="A16" s="15" t="s">
        <v>55</v>
      </c>
      <c r="B16" s="2">
        <f>1Low!$D$62</f>
        <v>0.32178309941098027</v>
      </c>
      <c r="C16" s="2">
        <f>1High!$D$62</f>
        <v>0.41277336238017415</v>
      </c>
      <c r="D16" s="2">
        <f>2Low!$D$62</f>
        <v>0.4215133597093721</v>
      </c>
      <c r="E16" s="2">
        <f>2High!$D$62</f>
        <v>0.5579987541631628</v>
      </c>
      <c r="F16" s="2">
        <f>3Low!$D$62</f>
        <v>0.49254971305675954</v>
      </c>
      <c r="G16" s="2">
        <f>3High!$D$62</f>
        <v>0.6639147083154079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O22" sqref="O22"/>
    </sheetView>
  </sheetViews>
  <sheetFormatPr defaultColWidth="9.140625" defaultRowHeight="12.75"/>
  <cols>
    <col min="1" max="1" width="30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246</v>
      </c>
      <c r="B1" s="129"/>
      <c r="C1" s="129"/>
      <c r="D1" s="73"/>
      <c r="E1" s="73"/>
      <c r="F1" s="73"/>
      <c r="G1" s="73"/>
      <c r="H1" s="73"/>
      <c r="I1" s="73"/>
      <c r="J1" s="82"/>
    </row>
    <row r="2" spans="1:3" ht="12.75">
      <c r="A2" s="95" t="s">
        <v>268</v>
      </c>
      <c r="B2" s="95"/>
      <c r="C2" s="95"/>
    </row>
    <row r="3" spans="1:3" ht="12.75">
      <c r="A3" s="95"/>
      <c r="B3" s="95"/>
      <c r="C3" s="95"/>
    </row>
    <row r="4" spans="1:9" ht="12.75">
      <c r="A4" s="105" t="s">
        <v>52</v>
      </c>
      <c r="B4" s="98" t="s">
        <v>73</v>
      </c>
      <c r="C4" s="75">
        <f>Param!B9</f>
        <v>16</v>
      </c>
      <c r="D4" s="98" t="s">
        <v>74</v>
      </c>
      <c r="E4" s="75">
        <f>Param!C9</f>
        <v>22</v>
      </c>
      <c r="F4" s="98" t="s">
        <v>75</v>
      </c>
      <c r="G4" s="75">
        <f>Param!D9</f>
        <v>26</v>
      </c>
      <c r="I4" s="71" t="s">
        <v>257</v>
      </c>
    </row>
    <row r="5" spans="1:9" ht="12.75">
      <c r="A5" s="233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s="71" t="s">
        <v>255</v>
      </c>
    </row>
    <row r="6" spans="1:9" ht="12.75">
      <c r="A6" s="239" t="s">
        <v>267</v>
      </c>
      <c r="C6" s="2"/>
      <c r="D6" s="2"/>
      <c r="E6" s="2"/>
      <c r="F6" s="2"/>
      <c r="G6" s="2"/>
      <c r="I6" t="s">
        <v>84</v>
      </c>
    </row>
    <row r="7" spans="1:9" ht="12.75">
      <c r="A7" s="15" t="s">
        <v>228</v>
      </c>
      <c r="B7" s="2">
        <f>1Low!D10</f>
        <v>35.2766</v>
      </c>
      <c r="C7" s="2">
        <f>1High!D10</f>
        <v>35.2766</v>
      </c>
      <c r="D7" s="2">
        <f>2Low!D10</f>
        <v>44.43710000000001</v>
      </c>
      <c r="E7" s="2">
        <f>2High!D10</f>
        <v>44.43710000000001</v>
      </c>
      <c r="F7" s="2">
        <f>3Low!D10</f>
        <v>50.54410000000001</v>
      </c>
      <c r="G7" s="2">
        <f>3High!D10</f>
        <v>50.54410000000001</v>
      </c>
      <c r="I7" t="s">
        <v>85</v>
      </c>
    </row>
    <row r="8" spans="1:9" ht="12.75">
      <c r="A8" s="15" t="s">
        <v>229</v>
      </c>
      <c r="B8" s="2">
        <f>1Low!D14</f>
        <v>3.2</v>
      </c>
      <c r="C8" s="2">
        <f>1High!D14</f>
        <v>3.2</v>
      </c>
      <c r="D8" s="2">
        <f>2Low!D14</f>
        <v>4.4</v>
      </c>
      <c r="E8" s="2">
        <f>2High!D14</f>
        <v>4.4</v>
      </c>
      <c r="F8" s="2">
        <f>3Low!D14</f>
        <v>5.2</v>
      </c>
      <c r="G8" s="2">
        <f>3High!D14</f>
        <v>5.2</v>
      </c>
      <c r="I8" t="s">
        <v>247</v>
      </c>
    </row>
    <row r="9" spans="1:9" ht="12.75">
      <c r="A9" s="15" t="s">
        <v>230</v>
      </c>
      <c r="B9" s="2">
        <f>1Low!D18</f>
        <v>3.345679012345679</v>
      </c>
      <c r="C9" s="2">
        <f>1High!D18</f>
        <v>3.691358024691358</v>
      </c>
      <c r="D9" s="2">
        <f>2Low!D18</f>
        <v>3.5185185185185186</v>
      </c>
      <c r="E9" s="2">
        <f>2High!D18</f>
        <v>4.037037037037037</v>
      </c>
      <c r="F9" s="2">
        <f>3Low!D18</f>
        <v>3.651028806584362</v>
      </c>
      <c r="G9" s="2">
        <f>3High!D18</f>
        <v>4.302057613168724</v>
      </c>
      <c r="I9" t="s">
        <v>86</v>
      </c>
    </row>
    <row r="10" spans="1:9" ht="12.75">
      <c r="A10" s="15" t="s">
        <v>65</v>
      </c>
      <c r="B10" s="2">
        <f>1Low!D26</f>
        <v>2.89</v>
      </c>
      <c r="C10" s="2">
        <f>1High!D26</f>
        <v>2.89</v>
      </c>
      <c r="D10" s="2">
        <f>2Low!D26</f>
        <v>3.58</v>
      </c>
      <c r="E10" s="2">
        <f>2High!D26</f>
        <v>3.58</v>
      </c>
      <c r="F10" s="2">
        <f>3Low!D26</f>
        <v>4.04</v>
      </c>
      <c r="G10" s="2">
        <f>3High!D26</f>
        <v>4.04</v>
      </c>
      <c r="I10" t="s">
        <v>248</v>
      </c>
    </row>
    <row r="11" spans="1:9" ht="12.75">
      <c r="A11" s="15" t="s">
        <v>15</v>
      </c>
      <c r="B11" s="2">
        <f>1Low!D30</f>
        <v>4.320987654320988</v>
      </c>
      <c r="C11" s="2">
        <f>1High!D30</f>
        <v>8.641975308641976</v>
      </c>
      <c r="D11" s="2">
        <f>2Low!D30</f>
        <v>6.481481481481481</v>
      </c>
      <c r="E11" s="2">
        <f>2High!D30</f>
        <v>12.962962962962962</v>
      </c>
      <c r="F11" s="2">
        <f>3Low!D30</f>
        <v>8.137860082304526</v>
      </c>
      <c r="G11" s="2">
        <f>3High!D30</f>
        <v>16.27572016460905</v>
      </c>
      <c r="I11" t="s">
        <v>87</v>
      </c>
    </row>
    <row r="12" spans="1:7" ht="12.75">
      <c r="A12" s="15" t="s">
        <v>101</v>
      </c>
      <c r="B12" s="2">
        <f>1Low!D34</f>
        <v>7.451663333333334</v>
      </c>
      <c r="C12" s="2">
        <f>1High!D34</f>
        <v>7.684996666666667</v>
      </c>
      <c r="D12" s="2">
        <f>2Low!D34</f>
        <v>8.120855</v>
      </c>
      <c r="E12" s="2">
        <f>2High!D34</f>
        <v>8.470855</v>
      </c>
      <c r="F12" s="2">
        <f>3Low!D34</f>
        <v>8.578649444444444</v>
      </c>
      <c r="G12" s="2">
        <f>3High!D34</f>
        <v>9.01809388888889</v>
      </c>
    </row>
    <row r="13" spans="1:15" ht="12.75">
      <c r="A13" s="15" t="s">
        <v>98</v>
      </c>
      <c r="B13" s="2">
        <f>1Low!D35</f>
        <v>2.4516633333333337</v>
      </c>
      <c r="C13" s="2">
        <f>1High!D35</f>
        <v>2.684996666666667</v>
      </c>
      <c r="D13" s="2">
        <f>2Low!D35</f>
        <v>3.1208550000000006</v>
      </c>
      <c r="E13" s="2">
        <f>2High!D35</f>
        <v>3.4708550000000002</v>
      </c>
      <c r="F13" s="2">
        <f>3Low!D35</f>
        <v>3.578649444444445</v>
      </c>
      <c r="G13" s="2">
        <f>3High!D35</f>
        <v>4.01809388888889</v>
      </c>
      <c r="I13" s="99" t="s">
        <v>83</v>
      </c>
      <c r="J13" s="77"/>
      <c r="K13" s="77"/>
      <c r="L13" s="77"/>
      <c r="M13" s="77"/>
      <c r="N13" s="77"/>
      <c r="O13" s="77"/>
    </row>
    <row r="14" spans="1:15" ht="12.75">
      <c r="A14" s="24"/>
      <c r="B14" s="2"/>
      <c r="C14" s="2"/>
      <c r="D14" s="2"/>
      <c r="E14" s="2"/>
      <c r="F14" s="2"/>
      <c r="G14" s="2"/>
      <c r="I14" s="77" t="s">
        <v>249</v>
      </c>
      <c r="J14" s="77"/>
      <c r="K14" s="77"/>
      <c r="L14" s="77"/>
      <c r="M14" s="77"/>
      <c r="N14" s="77"/>
      <c r="O14" s="77"/>
    </row>
    <row r="15" spans="1:15" ht="12.75">
      <c r="A15" s="32"/>
      <c r="B15" s="30"/>
      <c r="C15" s="30"/>
      <c r="D15" s="30"/>
      <c r="E15" s="30"/>
      <c r="F15" s="30"/>
      <c r="G15" s="30"/>
      <c r="I15" s="77" t="s">
        <v>89</v>
      </c>
      <c r="J15" s="77"/>
      <c r="K15" s="77"/>
      <c r="L15" s="77"/>
      <c r="M15" s="77"/>
      <c r="N15" s="77"/>
      <c r="O15" s="77"/>
    </row>
    <row r="16" spans="1:12" ht="12.75">
      <c r="A16" s="24"/>
      <c r="B16" s="30"/>
      <c r="C16" s="30"/>
      <c r="D16" s="30"/>
      <c r="E16" s="30"/>
      <c r="F16" s="30"/>
      <c r="G16" s="30"/>
      <c r="I16" s="77" t="s">
        <v>256</v>
      </c>
      <c r="J16" s="77"/>
      <c r="K16" s="77"/>
      <c r="L16" s="77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G12" sqref="G12"/>
    </sheetView>
  </sheetViews>
  <sheetFormatPr defaultColWidth="9.140625" defaultRowHeight="12.75"/>
  <cols>
    <col min="1" max="1" width="44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253</v>
      </c>
      <c r="B1" s="129"/>
      <c r="C1" s="129"/>
      <c r="D1" s="73"/>
      <c r="E1" s="73"/>
      <c r="F1" s="73"/>
      <c r="G1" s="73"/>
      <c r="H1" s="73"/>
      <c r="I1" s="73"/>
      <c r="J1" s="82"/>
    </row>
    <row r="2" spans="1:8" s="82" customFormat="1" ht="14.25" customHeight="1">
      <c r="A2" s="234" t="s">
        <v>254</v>
      </c>
      <c r="B2" s="95" t="s">
        <v>189</v>
      </c>
      <c r="C2" s="232"/>
      <c r="E2" t="s">
        <v>263</v>
      </c>
      <c r="F2"/>
      <c r="G2"/>
      <c r="H2" t="s">
        <v>264</v>
      </c>
    </row>
    <row r="3" spans="1:9" ht="12.75">
      <c r="A3" s="95"/>
      <c r="B3" s="95"/>
      <c r="C3" s="235" t="s">
        <v>76</v>
      </c>
      <c r="E3" s="235" t="s">
        <v>76</v>
      </c>
      <c r="G3" s="235" t="s">
        <v>76</v>
      </c>
      <c r="I3" s="71" t="s">
        <v>257</v>
      </c>
    </row>
    <row r="4" spans="1:9" ht="12.75">
      <c r="A4" s="105" t="s">
        <v>52</v>
      </c>
      <c r="B4" s="98" t="s">
        <v>73</v>
      </c>
      <c r="C4" s="75">
        <f>Param!B9</f>
        <v>16</v>
      </c>
      <c r="D4" s="98" t="s">
        <v>74</v>
      </c>
      <c r="E4" s="75">
        <f>Param!C9</f>
        <v>22</v>
      </c>
      <c r="F4" s="98" t="s">
        <v>75</v>
      </c>
      <c r="G4" s="75">
        <f>Param!D9</f>
        <v>26</v>
      </c>
      <c r="I4" s="71" t="s">
        <v>255</v>
      </c>
    </row>
    <row r="5" spans="1:9" ht="12.75">
      <c r="A5" s="233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t="s">
        <v>84</v>
      </c>
    </row>
    <row r="6" spans="1:9" ht="12.75">
      <c r="A6" s="239" t="s">
        <v>267</v>
      </c>
      <c r="C6" s="2"/>
      <c r="D6" s="2"/>
      <c r="E6" s="2"/>
      <c r="F6" s="2"/>
      <c r="G6" s="2"/>
      <c r="I6" t="s">
        <v>85</v>
      </c>
    </row>
    <row r="7" spans="1:9" ht="12.75">
      <c r="A7" s="15" t="s">
        <v>250</v>
      </c>
      <c r="B7" s="2">
        <f>1Low!D40</f>
        <v>0.714</v>
      </c>
      <c r="C7" s="2">
        <f>1High!D40</f>
        <v>0.714</v>
      </c>
      <c r="D7" s="2">
        <f>2Low!D40</f>
        <v>0.7980000000000002</v>
      </c>
      <c r="E7" s="2">
        <f>2High!D40</f>
        <v>0.7980000000000002</v>
      </c>
      <c r="F7" s="2">
        <f>3Low!D40</f>
        <v>0.854</v>
      </c>
      <c r="G7" s="2">
        <f>3High!D40</f>
        <v>0.854</v>
      </c>
      <c r="I7" t="s">
        <v>247</v>
      </c>
    </row>
    <row r="8" spans="1:9" ht="12.75">
      <c r="A8" s="15" t="s">
        <v>251</v>
      </c>
      <c r="B8" s="2">
        <f>1Low!D41</f>
        <v>0</v>
      </c>
      <c r="C8" s="2">
        <f>1High!D41</f>
        <v>0</v>
      </c>
      <c r="D8" s="2">
        <f>2Low!D41</f>
        <v>0</v>
      </c>
      <c r="E8" s="2">
        <f>2High!D41</f>
        <v>0</v>
      </c>
      <c r="F8" s="2">
        <f>3Low!D41</f>
        <v>0</v>
      </c>
      <c r="G8" s="2">
        <f>3High!D41</f>
        <v>0</v>
      </c>
      <c r="I8" t="s">
        <v>86</v>
      </c>
    </row>
    <row r="9" spans="1:9" ht="12.75">
      <c r="A9" s="15" t="s">
        <v>259</v>
      </c>
      <c r="B9" s="2">
        <f>1Low!D42</f>
        <v>0.17246249999999996</v>
      </c>
      <c r="C9" s="2">
        <f>1High!D42</f>
        <v>0.3449249999999999</v>
      </c>
      <c r="D9" s="2">
        <f>2Low!D42</f>
        <v>0.29103046875</v>
      </c>
      <c r="E9" s="2">
        <f>2High!D42</f>
        <v>0.5820609375</v>
      </c>
      <c r="F9" s="2">
        <f>3Low!D42</f>
        <v>0.40600546875</v>
      </c>
      <c r="G9" s="2">
        <f>3High!D42</f>
        <v>0.8120109375</v>
      </c>
      <c r="I9" t="s">
        <v>248</v>
      </c>
    </row>
    <row r="10" spans="1:9" ht="12.75">
      <c r="A10" s="15" t="s">
        <v>260</v>
      </c>
      <c r="B10" s="2">
        <f>1Low!D43</f>
        <v>0.11497499999999998</v>
      </c>
      <c r="C10" s="2">
        <f>1High!D43</f>
        <v>0.22994999999999996</v>
      </c>
      <c r="D10" s="2">
        <f>2Low!D43</f>
        <v>0.1940203125</v>
      </c>
      <c r="E10" s="2">
        <f>2High!D43</f>
        <v>0.388040625</v>
      </c>
      <c r="F10" s="2">
        <f>3Low!D43</f>
        <v>0.2706703125</v>
      </c>
      <c r="G10" s="2">
        <f>3High!D43</f>
        <v>0.541340625</v>
      </c>
      <c r="I10" t="s">
        <v>87</v>
      </c>
    </row>
    <row r="11" spans="1:7" ht="12.75">
      <c r="A11" s="15" t="s">
        <v>261</v>
      </c>
      <c r="B11" s="2">
        <f>1Low!D44</f>
        <v>0.015329999999999998</v>
      </c>
      <c r="C11" s="2">
        <f>1High!D44</f>
        <v>0.030659999999999996</v>
      </c>
      <c r="D11" s="2">
        <f>2Low!D44</f>
        <v>0.025869375</v>
      </c>
      <c r="E11" s="2">
        <f>2High!D44</f>
        <v>0.05173875</v>
      </c>
      <c r="F11" s="2">
        <f>3Low!D44</f>
        <v>0.036089375</v>
      </c>
      <c r="G11" s="2">
        <f>3High!D44</f>
        <v>0.07217875</v>
      </c>
    </row>
    <row r="12" spans="1:15" ht="12.75">
      <c r="A12" s="15" t="s">
        <v>262</v>
      </c>
      <c r="B12" s="2">
        <f>1Low!D45</f>
        <v>0.019613306666666667</v>
      </c>
      <c r="C12" s="2">
        <f>1High!D45</f>
        <v>0.021479973333333336</v>
      </c>
      <c r="D12" s="2">
        <f>2Low!D45</f>
        <v>0.02496684</v>
      </c>
      <c r="E12" s="2">
        <f>2High!D45</f>
        <v>0.027766840000000004</v>
      </c>
      <c r="F12" s="2">
        <f>3Low!D45</f>
        <v>0.02862919555555556</v>
      </c>
      <c r="G12" s="2">
        <f>3High!D45</f>
        <v>0.03214475111111112</v>
      </c>
      <c r="I12" s="99" t="s">
        <v>83</v>
      </c>
      <c r="J12" s="77"/>
      <c r="K12" s="77"/>
      <c r="L12" s="77"/>
      <c r="M12" s="77"/>
      <c r="N12" s="77"/>
      <c r="O12" s="77"/>
    </row>
    <row r="13" spans="1:15" ht="12.75">
      <c r="A13" s="15" t="s">
        <v>252</v>
      </c>
      <c r="B13" s="2">
        <f>1Low!D46</f>
        <v>0.057800000000000004</v>
      </c>
      <c r="C13" s="2">
        <f>1High!D46</f>
        <v>0.057800000000000004</v>
      </c>
      <c r="D13" s="2">
        <f>2Low!D46</f>
        <v>0.0716</v>
      </c>
      <c r="E13" s="2">
        <f>2High!D46</f>
        <v>0.0716</v>
      </c>
      <c r="F13" s="2">
        <f>3Low!D46</f>
        <v>0.0808</v>
      </c>
      <c r="G13" s="2">
        <f>3High!D46</f>
        <v>0.0808</v>
      </c>
      <c r="I13" s="77" t="s">
        <v>249</v>
      </c>
      <c r="J13" s="77"/>
      <c r="K13" s="77"/>
      <c r="L13" s="77"/>
      <c r="M13" s="77"/>
      <c r="N13" s="77"/>
      <c r="O13" s="77"/>
    </row>
    <row r="14" spans="1:15" ht="12.75">
      <c r="A14" s="15" t="s">
        <v>227</v>
      </c>
      <c r="B14" s="2">
        <f>1Low!D47</f>
        <v>0.034567901234567905</v>
      </c>
      <c r="C14" s="2">
        <f>1High!D47</f>
        <v>0.06913580246913581</v>
      </c>
      <c r="D14" s="2">
        <f>2Low!D47</f>
        <v>0.05185185185185185</v>
      </c>
      <c r="E14" s="2">
        <f>2High!D47</f>
        <v>0.1037037037037037</v>
      </c>
      <c r="F14" s="2">
        <f>3Low!D47</f>
        <v>0.06510288065843621</v>
      </c>
      <c r="G14" s="2">
        <f>3High!D47</f>
        <v>0.13020576131687242</v>
      </c>
      <c r="I14" s="77" t="s">
        <v>89</v>
      </c>
      <c r="J14" s="77"/>
      <c r="K14" s="77"/>
      <c r="L14" s="77"/>
      <c r="M14" s="77"/>
      <c r="N14" s="77"/>
      <c r="O14" s="77"/>
    </row>
    <row r="15" spans="1:12" ht="12.75">
      <c r="A15" s="32"/>
      <c r="B15" s="30"/>
      <c r="C15" s="30"/>
      <c r="D15" s="30"/>
      <c r="E15" s="30"/>
      <c r="F15" s="30"/>
      <c r="G15" s="30"/>
      <c r="I15" s="77" t="s">
        <v>256</v>
      </c>
      <c r="J15" s="77"/>
      <c r="K15" s="77"/>
      <c r="L15" s="77"/>
    </row>
    <row r="16" spans="1:7" ht="12.75">
      <c r="A16" s="24"/>
      <c r="B16" s="30"/>
      <c r="C16" s="30"/>
      <c r="D16" s="30"/>
      <c r="E16" s="30"/>
      <c r="F16" s="30"/>
      <c r="G16" s="30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70.57421875" style="0" customWidth="1"/>
    <col min="2" max="4" width="11.7109375" style="0" customWidth="1"/>
    <col min="5" max="5" width="11.8515625" style="0" customWidth="1"/>
    <col min="6" max="6" width="53.57421875" style="0" customWidth="1"/>
    <col min="7" max="9" width="10.8515625" style="0" customWidth="1"/>
    <col min="10" max="10" width="15.00390625" style="0" customWidth="1"/>
    <col min="11" max="11" width="12.421875" style="0" bestFit="1" customWidth="1"/>
  </cols>
  <sheetData>
    <row r="1" ht="18">
      <c r="A1" s="264" t="s">
        <v>296</v>
      </c>
    </row>
    <row r="2" spans="1:5" s="82" customFormat="1" ht="18" customHeight="1">
      <c r="A2" s="133" t="s">
        <v>236</v>
      </c>
      <c r="B2" s="133"/>
      <c r="E2" s="95"/>
    </row>
    <row r="3" s="82" customFormat="1" ht="18" customHeight="1">
      <c r="A3" s="133" t="s">
        <v>225</v>
      </c>
    </row>
    <row r="4" spans="1:11" s="82" customFormat="1" ht="18" customHeight="1">
      <c r="A4" s="343" t="s">
        <v>235</v>
      </c>
      <c r="B4" s="133"/>
      <c r="J4" s="344">
        <f>B30</f>
        <v>0.55</v>
      </c>
      <c r="K4" s="95"/>
    </row>
    <row r="5" spans="1:5" s="82" customFormat="1" ht="20.25" customHeight="1">
      <c r="A5" s="265" t="s">
        <v>243</v>
      </c>
      <c r="B5" s="133"/>
      <c r="D5" s="148"/>
      <c r="E5" s="95"/>
    </row>
    <row r="6" spans="1:5" s="82" customFormat="1" ht="20.25" customHeight="1">
      <c r="A6" s="265"/>
      <c r="B6" s="133"/>
      <c r="D6" s="148"/>
      <c r="E6" s="95"/>
    </row>
    <row r="7" spans="1:10" s="82" customFormat="1" ht="18" customHeight="1" thickBot="1">
      <c r="A7" s="145" t="s">
        <v>207</v>
      </c>
      <c r="B7" s="133" t="s">
        <v>245</v>
      </c>
      <c r="E7" s="95"/>
      <c r="F7" s="340" t="s">
        <v>324</v>
      </c>
      <c r="G7" s="111"/>
      <c r="H7" s="111"/>
      <c r="I7" s="111"/>
      <c r="J7" s="111"/>
    </row>
    <row r="8" spans="1:12" ht="14.25" customHeight="1" thickBot="1">
      <c r="A8" s="154" t="s">
        <v>64</v>
      </c>
      <c r="B8" s="172" t="s">
        <v>117</v>
      </c>
      <c r="C8" s="173" t="s">
        <v>115</v>
      </c>
      <c r="D8" s="174" t="s">
        <v>116</v>
      </c>
      <c r="F8" s="113" t="s">
        <v>337</v>
      </c>
      <c r="G8" s="137"/>
      <c r="H8" s="137"/>
      <c r="I8" s="137"/>
      <c r="J8" s="137"/>
      <c r="K8" s="114"/>
      <c r="L8" s="114"/>
    </row>
    <row r="9" spans="1:4" ht="14.25" customHeight="1">
      <c r="A9" s="175" t="s">
        <v>104</v>
      </c>
      <c r="B9" s="115">
        <v>16</v>
      </c>
      <c r="C9" s="115">
        <v>22</v>
      </c>
      <c r="D9" s="176">
        <v>26</v>
      </c>
    </row>
    <row r="10" spans="1:10" ht="14.25" customHeight="1">
      <c r="A10" s="177" t="s">
        <v>96</v>
      </c>
      <c r="B10" s="28">
        <f>B21*0.015</f>
        <v>0.22499999999999998</v>
      </c>
      <c r="C10" s="179"/>
      <c r="D10" s="180"/>
      <c r="F10" s="336" t="s">
        <v>239</v>
      </c>
      <c r="G10" s="337" t="s">
        <v>144</v>
      </c>
      <c r="H10" s="338"/>
      <c r="I10" s="338"/>
      <c r="J10" s="338"/>
    </row>
    <row r="11" spans="1:10" ht="14.25" customHeight="1">
      <c r="A11" s="177" t="s">
        <v>95</v>
      </c>
      <c r="B11" s="117">
        <f>($B$46+$B$47)*$B$10*B9</f>
        <v>3.5999999999999996</v>
      </c>
      <c r="C11" s="117">
        <f>($B$46+$B$47)*$B$10*C9</f>
        <v>4.949999999999999</v>
      </c>
      <c r="D11" s="181">
        <f>($B$46+$B$47)*$B$10*D9</f>
        <v>5.85</v>
      </c>
      <c r="F11" s="339" t="s">
        <v>226</v>
      </c>
      <c r="G11" s="111"/>
      <c r="H11" s="111"/>
      <c r="I11" s="111"/>
      <c r="J11" s="111"/>
    </row>
    <row r="12" spans="1:11" ht="14.25" customHeight="1">
      <c r="A12" s="177" t="s">
        <v>105</v>
      </c>
      <c r="B12" s="182">
        <f>B9+B11</f>
        <v>19.6</v>
      </c>
      <c r="C12" s="182">
        <f>C9+C11</f>
        <v>26.95</v>
      </c>
      <c r="D12" s="183">
        <f>D9+D11</f>
        <v>31.85</v>
      </c>
      <c r="K12" s="112"/>
    </row>
    <row r="13" spans="1:9" ht="14.25" customHeight="1">
      <c r="A13" s="175" t="s">
        <v>206</v>
      </c>
      <c r="B13" s="333">
        <v>60000</v>
      </c>
      <c r="C13" s="333">
        <v>90000</v>
      </c>
      <c r="D13" s="334">
        <v>113000</v>
      </c>
      <c r="F13" s="150" t="s">
        <v>325</v>
      </c>
      <c r="G13" s="82"/>
      <c r="H13" s="82"/>
      <c r="I13" s="82"/>
    </row>
    <row r="14" spans="1:24" ht="14.25" customHeight="1">
      <c r="A14" s="175" t="s">
        <v>205</v>
      </c>
      <c r="B14" s="184">
        <v>0.125</v>
      </c>
      <c r="C14" s="184">
        <v>0.125</v>
      </c>
      <c r="D14" s="184">
        <v>0.125</v>
      </c>
      <c r="F14" s="110" t="s">
        <v>136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97" customFormat="1" ht="14.25" customHeight="1">
      <c r="A15" s="175" t="s">
        <v>172</v>
      </c>
      <c r="B15" s="185">
        <f>B13*B14</f>
        <v>7500</v>
      </c>
      <c r="C15" s="185">
        <f>C13*C14</f>
        <v>11250</v>
      </c>
      <c r="D15" s="185">
        <f>D13*D14</f>
        <v>14125</v>
      </c>
      <c r="E15"/>
      <c r="F15" s="110" t="s">
        <v>135</v>
      </c>
      <c r="G15" s="82"/>
      <c r="H15" s="82"/>
      <c r="I15" s="8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ht="14.25" customHeight="1">
      <c r="A16" s="177" t="s">
        <v>204</v>
      </c>
      <c r="B16" s="187">
        <v>2</v>
      </c>
      <c r="C16" s="178">
        <v>2</v>
      </c>
      <c r="D16" s="188">
        <v>2</v>
      </c>
      <c r="F16" s="113" t="s">
        <v>124</v>
      </c>
      <c r="G16" s="114"/>
      <c r="H16" s="114"/>
      <c r="I16" s="114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4" ht="14.25" customHeight="1">
      <c r="A17" s="177" t="s">
        <v>173</v>
      </c>
      <c r="B17" s="185">
        <f>B15*B16</f>
        <v>15000</v>
      </c>
      <c r="C17" s="185">
        <f>C15*C16</f>
        <v>22500</v>
      </c>
      <c r="D17" s="186">
        <f>D15*D16</f>
        <v>28250</v>
      </c>
    </row>
    <row r="18" spans="1:4" ht="14.25" customHeight="1" thickBot="1">
      <c r="A18" s="189" t="s">
        <v>215</v>
      </c>
      <c r="B18" s="190">
        <v>4</v>
      </c>
      <c r="C18" s="190">
        <v>4.5</v>
      </c>
      <c r="D18" s="191">
        <v>5</v>
      </c>
    </row>
    <row r="19" spans="1:12" s="82" customFormat="1" ht="14.25" customHeight="1">
      <c r="A19" s="175" t="s">
        <v>177</v>
      </c>
      <c r="B19" s="252">
        <v>0.4</v>
      </c>
      <c r="C19" s="115">
        <v>1.5</v>
      </c>
      <c r="D19" s="192"/>
      <c r="F19" s="199" t="s">
        <v>297</v>
      </c>
      <c r="G19" s="200" t="s">
        <v>377</v>
      </c>
      <c r="H19" s="200"/>
      <c r="I19" s="200"/>
      <c r="J19" s="201"/>
      <c r="K19" s="201"/>
      <c r="L19" s="202"/>
    </row>
    <row r="20" spans="1:12" s="82" customFormat="1" ht="14.25" customHeight="1">
      <c r="A20" s="175" t="s">
        <v>174</v>
      </c>
      <c r="B20" s="115">
        <v>0.2</v>
      </c>
      <c r="C20" s="144"/>
      <c r="D20" s="192"/>
      <c r="F20" s="203" t="s">
        <v>298</v>
      </c>
      <c r="G20" s="204" t="s">
        <v>378</v>
      </c>
      <c r="H20" s="204"/>
      <c r="I20" s="204"/>
      <c r="J20" s="109"/>
      <c r="K20" s="109"/>
      <c r="L20" s="192"/>
    </row>
    <row r="21" spans="1:12" ht="14.25" customHeight="1" thickBot="1">
      <c r="A21" s="177" t="s">
        <v>176</v>
      </c>
      <c r="B21" s="115">
        <v>15</v>
      </c>
      <c r="C21" s="109">
        <f>B21*60*60/1000</f>
        <v>54</v>
      </c>
      <c r="D21" s="192"/>
      <c r="F21" s="205" t="s">
        <v>299</v>
      </c>
      <c r="G21" s="206" t="s">
        <v>379</v>
      </c>
      <c r="H21" s="206"/>
      <c r="I21" s="206"/>
      <c r="J21" s="206"/>
      <c r="K21" s="206"/>
      <c r="L21" s="198"/>
    </row>
    <row r="22" spans="1:4" ht="14.25" customHeight="1" thickBot="1">
      <c r="A22" s="196" t="s">
        <v>284</v>
      </c>
      <c r="B22" s="23">
        <f>60*B18*(1+$B$19)/$C$21</f>
        <v>6.222222222222222</v>
      </c>
      <c r="C22" s="23">
        <f>60*C18*(1+$B$19)/$C$21</f>
        <v>7</v>
      </c>
      <c r="D22" s="327">
        <f>60*D18*(1+$B$19)/$C$21</f>
        <v>7.777777777777778</v>
      </c>
    </row>
    <row r="23" spans="1:10" ht="14.25" customHeight="1" thickBot="1">
      <c r="A23" s="328" t="s">
        <v>323</v>
      </c>
      <c r="B23" s="329">
        <f>B18/$C$21*60</f>
        <v>4.444444444444445</v>
      </c>
      <c r="C23" s="329">
        <f>C18/$C$21*60</f>
        <v>5</v>
      </c>
      <c r="D23" s="330">
        <f>D18/$C$21*60</f>
        <v>5.555555555555555</v>
      </c>
      <c r="G23" s="172" t="s">
        <v>117</v>
      </c>
      <c r="H23" s="173" t="s">
        <v>115</v>
      </c>
      <c r="I23" s="174" t="s">
        <v>116</v>
      </c>
      <c r="J23" s="82"/>
    </row>
    <row r="24" spans="1:9" ht="12.75">
      <c r="A24" s="175" t="s">
        <v>271</v>
      </c>
      <c r="B24" s="324">
        <f>(3600*$B$12/1Low!B30-2*1Low!$B$12+1Low!$B$13)/$C$21</f>
        <v>6.967407407407406</v>
      </c>
      <c r="C24" s="193">
        <f>B24*$B$21</f>
        <v>104.51111111111109</v>
      </c>
      <c r="D24" s="192"/>
      <c r="F24" s="254" t="s">
        <v>300</v>
      </c>
      <c r="G24" s="325">
        <f>B15*B18/B9</f>
        <v>1875</v>
      </c>
      <c r="H24" s="255">
        <f>C15*C18/C9</f>
        <v>2301.1363636363635</v>
      </c>
      <c r="I24" s="256">
        <f>D15*D18/D9</f>
        <v>2716.346153846154</v>
      </c>
    </row>
    <row r="25" spans="1:10" ht="12.75">
      <c r="A25" s="241" t="s">
        <v>272</v>
      </c>
      <c r="B25" s="214">
        <f>(3600*$B$12/1High!B30-2*1Low!$B$12+1Low!$B$13)/$C$21</f>
        <v>3.187407407407407</v>
      </c>
      <c r="C25" s="193">
        <f>B25*$B$21</f>
        <v>47.8111111111111</v>
      </c>
      <c r="D25" s="192"/>
      <c r="F25" s="253" t="s">
        <v>301</v>
      </c>
      <c r="G25" s="326">
        <f>B17*B18/B9</f>
        <v>3750</v>
      </c>
      <c r="H25" s="194">
        <f>C17*C18/C9</f>
        <v>4602.272727272727</v>
      </c>
      <c r="I25" s="256">
        <f>D17*D18/D9</f>
        <v>5432.692307692308</v>
      </c>
      <c r="J25" s="226"/>
    </row>
    <row r="26" spans="1:9" ht="13.5" thickBot="1">
      <c r="A26" s="196" t="s">
        <v>213</v>
      </c>
      <c r="B26" s="332">
        <v>0.5</v>
      </c>
      <c r="C26" s="206">
        <f>B21*B26</f>
        <v>7.5</v>
      </c>
      <c r="D26" s="331">
        <f>60*60/B26</f>
        <v>7200</v>
      </c>
      <c r="F26" s="175" t="s">
        <v>285</v>
      </c>
      <c r="G26" s="341">
        <f>1Low!$G$12/1Low!$B$30</f>
        <v>88694.99999999999</v>
      </c>
      <c r="H26" s="195">
        <f>2Low!$G$12/2Low!$B$30</f>
        <v>99781.87500000001</v>
      </c>
      <c r="I26" s="256">
        <f>3Low!$G$12/3Low!$B$30</f>
        <v>110868.75000000001</v>
      </c>
    </row>
    <row r="27" spans="1:9" ht="13.5" thickBot="1">
      <c r="A27" s="345" t="s">
        <v>326</v>
      </c>
      <c r="B27" s="342">
        <f>$D$26*(C19-B19)</f>
        <v>7920.000000000001</v>
      </c>
      <c r="C27" s="197">
        <f>D26*3</f>
        <v>21600</v>
      </c>
      <c r="D27" s="198"/>
      <c r="F27" s="196" t="s">
        <v>286</v>
      </c>
      <c r="G27" s="197">
        <f>1High!$G$12/1High!$B$30</f>
        <v>88694.99999999999</v>
      </c>
      <c r="H27" s="197">
        <f>2High!$G$12/2High!$B$30</f>
        <v>99781.87500000001</v>
      </c>
      <c r="I27" s="257">
        <f>3High!$G$12/3High!$B$30</f>
        <v>110868.75000000001</v>
      </c>
    </row>
    <row r="28" spans="1:4" ht="13.5" thickBot="1">
      <c r="A28" s="144"/>
      <c r="B28" s="195"/>
      <c r="C28" s="195"/>
      <c r="D28" s="109"/>
    </row>
    <row r="29" spans="1:9" ht="18">
      <c r="A29" s="207" t="s">
        <v>237</v>
      </c>
      <c r="B29" s="201"/>
      <c r="C29" s="201"/>
      <c r="D29" s="201"/>
      <c r="E29" s="201"/>
      <c r="F29" s="247" t="s">
        <v>34</v>
      </c>
      <c r="G29" s="201"/>
      <c r="H29" s="222" t="s">
        <v>186</v>
      </c>
      <c r="I29" s="202"/>
    </row>
    <row r="30" spans="1:9" ht="12.75">
      <c r="A30" s="203" t="s">
        <v>214</v>
      </c>
      <c r="B30" s="252">
        <v>0.55</v>
      </c>
      <c r="C30" s="252">
        <v>0.55</v>
      </c>
      <c r="D30" s="252">
        <v>0.55</v>
      </c>
      <c r="E30" s="109"/>
      <c r="F30" s="43" t="s">
        <v>102</v>
      </c>
      <c r="G30" s="122">
        <v>0</v>
      </c>
      <c r="H30" s="96">
        <v>0.1</v>
      </c>
      <c r="I30" s="192"/>
    </row>
    <row r="31" spans="1:9" ht="12.75">
      <c r="A31" s="203" t="s">
        <v>216</v>
      </c>
      <c r="B31" s="96">
        <f>B18*B30</f>
        <v>2.2</v>
      </c>
      <c r="C31" s="96">
        <f>C18*C30</f>
        <v>2.475</v>
      </c>
      <c r="D31" s="96">
        <f>D18*D30</f>
        <v>2.75</v>
      </c>
      <c r="E31" s="109"/>
      <c r="F31" s="43" t="s">
        <v>11</v>
      </c>
      <c r="G31" s="122">
        <v>0</v>
      </c>
      <c r="H31" s="96">
        <v>0.04</v>
      </c>
      <c r="I31" s="192"/>
    </row>
    <row r="32" spans="1:9" ht="12.75">
      <c r="A32" s="189" t="s">
        <v>67</v>
      </c>
      <c r="B32" s="208">
        <v>1</v>
      </c>
      <c r="C32" s="151" t="s">
        <v>240</v>
      </c>
      <c r="D32" s="109"/>
      <c r="E32" s="109"/>
      <c r="F32" s="43" t="s">
        <v>148</v>
      </c>
      <c r="G32" s="122">
        <v>0</v>
      </c>
      <c r="H32" s="96">
        <v>0.04</v>
      </c>
      <c r="I32" s="192"/>
    </row>
    <row r="33" spans="1:9" ht="12.75">
      <c r="A33" s="203" t="s">
        <v>146</v>
      </c>
      <c r="B33" s="116">
        <v>0</v>
      </c>
      <c r="C33" s="116">
        <v>0.4</v>
      </c>
      <c r="D33" s="109" t="s">
        <v>233</v>
      </c>
      <c r="E33" s="109"/>
      <c r="F33" s="43" t="s">
        <v>242</v>
      </c>
      <c r="G33" s="121">
        <v>0.001</v>
      </c>
      <c r="H33" s="192" t="s">
        <v>244</v>
      </c>
      <c r="I33" s="225"/>
    </row>
    <row r="34" spans="1:12" s="82" customFormat="1" ht="13.5" thickBot="1">
      <c r="A34" s="209"/>
      <c r="B34" s="210"/>
      <c r="C34" s="210">
        <v>0.8</v>
      </c>
      <c r="D34" s="206" t="s">
        <v>232</v>
      </c>
      <c r="E34" s="251"/>
      <c r="F34" s="220" t="s">
        <v>241</v>
      </c>
      <c r="G34" s="223">
        <v>0.0001</v>
      </c>
      <c r="H34" s="224" t="s">
        <v>244</v>
      </c>
      <c r="I34" s="224"/>
      <c r="J34"/>
      <c r="K34"/>
      <c r="L34"/>
    </row>
    <row r="35" spans="1:8" s="82" customFormat="1" ht="13.5" thickBot="1">
      <c r="A35"/>
      <c r="B35"/>
      <c r="C35"/>
      <c r="D35"/>
      <c r="E35"/>
      <c r="F35"/>
      <c r="G35"/>
      <c r="H35"/>
    </row>
    <row r="36" spans="1:11" s="82" customFormat="1" ht="18">
      <c r="A36" s="207" t="s">
        <v>208</v>
      </c>
      <c r="B36" s="201"/>
      <c r="C36" s="201"/>
      <c r="D36" s="201"/>
      <c r="E36" s="211"/>
      <c r="F36" s="246" t="s">
        <v>109</v>
      </c>
      <c r="G36" s="247" t="s">
        <v>66</v>
      </c>
      <c r="H36" s="248" t="s">
        <v>17</v>
      </c>
      <c r="I36" s="151"/>
      <c r="J36" s="117"/>
      <c r="K36" s="109"/>
    </row>
    <row r="37" spans="5:9" ht="12.75">
      <c r="E37" s="96"/>
      <c r="F37" s="238" t="s">
        <v>81</v>
      </c>
      <c r="G37" s="236"/>
      <c r="H37" s="244"/>
      <c r="I37" s="109"/>
    </row>
    <row r="38" spans="1:9" ht="12.75">
      <c r="A38" s="203" t="s">
        <v>99</v>
      </c>
      <c r="B38" s="258">
        <v>0.05</v>
      </c>
      <c r="C38" s="109"/>
      <c r="D38" s="144"/>
      <c r="E38" s="96"/>
      <c r="F38" s="43" t="s">
        <v>58</v>
      </c>
      <c r="G38" s="85"/>
      <c r="H38" s="335">
        <v>0.15</v>
      </c>
      <c r="I38" s="109"/>
    </row>
    <row r="39" spans="3:9" ht="12.75">
      <c r="C39" s="109"/>
      <c r="D39" s="109"/>
      <c r="E39" s="96"/>
      <c r="F39" s="43" t="s">
        <v>68</v>
      </c>
      <c r="G39" s="87"/>
      <c r="H39" s="215">
        <v>0.075</v>
      </c>
      <c r="I39" s="109"/>
    </row>
    <row r="40" spans="1:9" ht="13.5" thickBot="1">
      <c r="A40" s="212" t="s">
        <v>108</v>
      </c>
      <c r="B40" s="41" t="s">
        <v>66</v>
      </c>
      <c r="C40" s="41" t="s">
        <v>17</v>
      </c>
      <c r="D40" s="179" t="s">
        <v>186</v>
      </c>
      <c r="E40" s="96"/>
      <c r="F40" s="43" t="s">
        <v>77</v>
      </c>
      <c r="G40" s="87"/>
      <c r="H40" s="215">
        <v>0.05</v>
      </c>
      <c r="I40" s="109"/>
    </row>
    <row r="41" spans="1:9" ht="12.75">
      <c r="A41" s="189" t="s">
        <v>63</v>
      </c>
      <c r="B41" s="109"/>
      <c r="C41" s="263">
        <v>1.1</v>
      </c>
      <c r="D41" s="117">
        <v>0.5</v>
      </c>
      <c r="E41" s="96">
        <v>1.5</v>
      </c>
      <c r="F41" s="109"/>
      <c r="G41" s="109"/>
      <c r="H41" s="192"/>
      <c r="I41" s="109"/>
    </row>
    <row r="42" spans="1:9" s="82" customFormat="1" ht="12.75">
      <c r="A42" s="203" t="s">
        <v>119</v>
      </c>
      <c r="B42" s="213">
        <v>35</v>
      </c>
      <c r="C42" s="262">
        <v>0.0085</v>
      </c>
      <c r="D42" s="179">
        <v>0.003</v>
      </c>
      <c r="E42" s="96">
        <v>0.015</v>
      </c>
      <c r="F42" s="229" t="s">
        <v>24</v>
      </c>
      <c r="G42" s="236"/>
      <c r="H42" s="243"/>
      <c r="I42" s="109"/>
    </row>
    <row r="43" spans="1:9" ht="12.75">
      <c r="A43" s="203" t="s">
        <v>120</v>
      </c>
      <c r="B43" s="22"/>
      <c r="C43" s="28">
        <v>0.15</v>
      </c>
      <c r="D43" s="179"/>
      <c r="E43" s="96"/>
      <c r="F43" s="43" t="s">
        <v>59</v>
      </c>
      <c r="G43" s="91">
        <v>0.001</v>
      </c>
      <c r="H43" s="192"/>
      <c r="I43" s="109"/>
    </row>
    <row r="44" spans="1:9" ht="12.75">
      <c r="A44" s="203" t="s">
        <v>121</v>
      </c>
      <c r="B44" s="69">
        <v>0.6</v>
      </c>
      <c r="C44" s="28">
        <v>0.01</v>
      </c>
      <c r="D44" s="179"/>
      <c r="E44" s="96"/>
      <c r="F44" s="43" t="s">
        <v>79</v>
      </c>
      <c r="G44" s="208">
        <v>0.02</v>
      </c>
      <c r="H44" s="192"/>
      <c r="I44" s="179"/>
    </row>
    <row r="45" spans="1:9" s="82" customFormat="1" ht="12.75">
      <c r="A45" s="203" t="s">
        <v>185</v>
      </c>
      <c r="B45" s="214"/>
      <c r="C45" s="28">
        <v>0.13</v>
      </c>
      <c r="D45" s="179"/>
      <c r="E45" s="109"/>
      <c r="F45" s="43" t="s">
        <v>80</v>
      </c>
      <c r="G45" s="208">
        <v>0.02</v>
      </c>
      <c r="H45" s="192"/>
      <c r="I45" s="109"/>
    </row>
    <row r="46" spans="1:9" ht="12.75">
      <c r="A46" s="203" t="s">
        <v>287</v>
      </c>
      <c r="B46" s="208">
        <v>1</v>
      </c>
      <c r="C46" s="69">
        <v>1</v>
      </c>
      <c r="D46" s="69">
        <v>1</v>
      </c>
      <c r="E46" s="28">
        <v>0.2</v>
      </c>
      <c r="F46" s="43" t="s">
        <v>231</v>
      </c>
      <c r="G46" s="227"/>
      <c r="H46" s="228">
        <v>0.0002</v>
      </c>
      <c r="I46" s="109"/>
    </row>
    <row r="47" spans="1:9" ht="12.75">
      <c r="A47" s="203" t="s">
        <v>288</v>
      </c>
      <c r="B47" s="208">
        <v>0</v>
      </c>
      <c r="C47" s="69">
        <v>0</v>
      </c>
      <c r="D47" s="69">
        <v>0</v>
      </c>
      <c r="E47" s="28">
        <v>1.1</v>
      </c>
      <c r="F47" s="109"/>
      <c r="G47" s="109"/>
      <c r="H47" s="192"/>
      <c r="I47" s="179"/>
    </row>
    <row r="48" spans="1:9" ht="12.75">
      <c r="A48" s="203" t="s">
        <v>107</v>
      </c>
      <c r="B48" s="109"/>
      <c r="C48" s="178">
        <v>0.1</v>
      </c>
      <c r="D48" s="109"/>
      <c r="E48" s="109"/>
      <c r="F48" s="237" t="s">
        <v>265</v>
      </c>
      <c r="G48" s="109"/>
      <c r="H48" s="192"/>
      <c r="I48" s="109"/>
    </row>
    <row r="49" spans="1:9" ht="12.75">
      <c r="A49" s="216"/>
      <c r="B49" s="109"/>
      <c r="C49" s="109"/>
      <c r="D49" s="109"/>
      <c r="E49" s="109"/>
      <c r="F49" s="43" t="s">
        <v>26</v>
      </c>
      <c r="G49" s="213">
        <v>5</v>
      </c>
      <c r="H49" s="158"/>
      <c r="I49" s="109"/>
    </row>
    <row r="50" spans="1:9" ht="12.75">
      <c r="A50" s="230" t="s">
        <v>65</v>
      </c>
      <c r="B50" s="229" t="s">
        <v>66</v>
      </c>
      <c r="C50" s="229" t="s">
        <v>17</v>
      </c>
      <c r="D50" s="109"/>
      <c r="E50" s="109"/>
      <c r="F50" s="43" t="s">
        <v>27</v>
      </c>
      <c r="G50" s="213">
        <v>2</v>
      </c>
      <c r="H50" s="158"/>
      <c r="I50" s="109"/>
    </row>
    <row r="51" spans="1:9" ht="12.75">
      <c r="A51" s="217" t="s">
        <v>60</v>
      </c>
      <c r="B51" s="92"/>
      <c r="C51" s="91">
        <v>0.005</v>
      </c>
      <c r="D51" s="109"/>
      <c r="E51" s="109"/>
      <c r="F51" s="45" t="s">
        <v>78</v>
      </c>
      <c r="G51" s="208">
        <v>0.2</v>
      </c>
      <c r="H51" s="215">
        <v>0.07</v>
      </c>
      <c r="I51" s="109"/>
    </row>
    <row r="52" spans="1:9" ht="12.75">
      <c r="A52" s="217" t="s">
        <v>61</v>
      </c>
      <c r="B52" s="92"/>
      <c r="C52" s="28">
        <v>1</v>
      </c>
      <c r="D52" s="109"/>
      <c r="E52" s="109"/>
      <c r="F52" s="45" t="s">
        <v>106</v>
      </c>
      <c r="G52" s="109"/>
      <c r="H52" s="188">
        <v>0</v>
      </c>
      <c r="I52" s="109"/>
    </row>
    <row r="53" spans="1:9" ht="12.75">
      <c r="A53" s="217" t="s">
        <v>5</v>
      </c>
      <c r="B53" s="92"/>
      <c r="C53" s="28">
        <v>0.1</v>
      </c>
      <c r="D53" s="109"/>
      <c r="E53" s="109"/>
      <c r="F53" s="109"/>
      <c r="G53" s="109"/>
      <c r="H53" s="180"/>
      <c r="I53" s="109"/>
    </row>
    <row r="54" spans="1:9" ht="12.75">
      <c r="A54" s="189" t="s">
        <v>62</v>
      </c>
      <c r="B54" s="109"/>
      <c r="C54" s="28">
        <v>0.01</v>
      </c>
      <c r="D54" s="109"/>
      <c r="E54" s="109"/>
      <c r="F54" s="229" t="s">
        <v>150</v>
      </c>
      <c r="G54" s="236"/>
      <c r="H54" s="243"/>
      <c r="I54" s="109"/>
    </row>
    <row r="55" spans="1:9" ht="12.75">
      <c r="A55" s="216"/>
      <c r="B55" s="109"/>
      <c r="C55" s="109"/>
      <c r="D55" s="109"/>
      <c r="E55" s="109"/>
      <c r="F55" s="43" t="s">
        <v>25</v>
      </c>
      <c r="G55" s="213">
        <v>76</v>
      </c>
      <c r="H55" s="192"/>
      <c r="I55" s="109"/>
    </row>
    <row r="56" spans="1:9" ht="12.75">
      <c r="A56" s="218" t="s">
        <v>31</v>
      </c>
      <c r="B56" s="91">
        <v>0.002</v>
      </c>
      <c r="C56" s="69">
        <v>3</v>
      </c>
      <c r="D56" s="109"/>
      <c r="E56" s="179"/>
      <c r="F56" s="43" t="s">
        <v>15</v>
      </c>
      <c r="G56" s="213">
        <v>26</v>
      </c>
      <c r="H56" s="192"/>
      <c r="I56" s="109"/>
    </row>
    <row r="57" spans="1:9" s="82" customFormat="1" ht="12.75">
      <c r="A57" s="170"/>
      <c r="B57" s="6"/>
      <c r="C57" s="6"/>
      <c r="D57" s="109"/>
      <c r="E57" s="109"/>
      <c r="F57" s="43" t="s">
        <v>224</v>
      </c>
      <c r="G57" s="178">
        <v>13</v>
      </c>
      <c r="H57" s="192"/>
      <c r="I57" s="109"/>
    </row>
    <row r="58" spans="1:8" ht="12.75">
      <c r="A58" s="218" t="s">
        <v>165</v>
      </c>
      <c r="B58" s="109"/>
      <c r="C58" s="149">
        <v>0.025</v>
      </c>
      <c r="D58" s="117">
        <v>0.15</v>
      </c>
      <c r="E58" s="109"/>
      <c r="F58" s="229" t="s">
        <v>151</v>
      </c>
      <c r="G58" s="231"/>
      <c r="H58" s="192" t="s">
        <v>280</v>
      </c>
    </row>
    <row r="59" spans="1:8" ht="12.75">
      <c r="A59" s="250"/>
      <c r="B59" s="109"/>
      <c r="D59" s="109"/>
      <c r="E59" s="109"/>
      <c r="F59" s="245" t="s">
        <v>1</v>
      </c>
      <c r="G59" s="109">
        <v>78</v>
      </c>
      <c r="H59" s="192">
        <f>G59-3</f>
        <v>75</v>
      </c>
    </row>
    <row r="60" spans="1:8" ht="12.75">
      <c r="A60" s="218" t="s">
        <v>282</v>
      </c>
      <c r="B60" s="178">
        <v>5</v>
      </c>
      <c r="C60" s="178">
        <v>0.05</v>
      </c>
      <c r="D60" s="109"/>
      <c r="E60" s="109"/>
      <c r="F60" s="43" t="s">
        <v>281</v>
      </c>
      <c r="G60" s="213">
        <v>28</v>
      </c>
      <c r="H60" s="192">
        <f>G60-3</f>
        <v>25</v>
      </c>
    </row>
    <row r="61" spans="1:8" ht="13.5" thickBot="1">
      <c r="A61" s="249" t="s">
        <v>283</v>
      </c>
      <c r="B61" s="219">
        <v>0</v>
      </c>
      <c r="C61" s="219">
        <v>0.05</v>
      </c>
      <c r="D61" s="206"/>
      <c r="E61" s="206"/>
      <c r="F61" s="220" t="s">
        <v>2</v>
      </c>
      <c r="G61" s="221">
        <v>13</v>
      </c>
      <c r="H61" s="198">
        <f>G61-3</f>
        <v>10</v>
      </c>
    </row>
    <row r="62" spans="1:9" ht="13.5" thickBot="1">
      <c r="A62" s="109"/>
      <c r="B62" s="109"/>
      <c r="C62" s="109"/>
      <c r="D62" s="109"/>
      <c r="E62" s="109"/>
      <c r="I62" s="109"/>
    </row>
    <row r="63" spans="1:8" s="112" customFormat="1" ht="12.75" customHeight="1">
      <c r="A63" s="418" t="s">
        <v>349</v>
      </c>
      <c r="B63" s="419" t="s">
        <v>348</v>
      </c>
      <c r="C63" s="419" t="s">
        <v>353</v>
      </c>
      <c r="D63" s="420" t="s">
        <v>354</v>
      </c>
      <c r="E63" s="82"/>
      <c r="F63" s="82"/>
      <c r="G63" s="82"/>
      <c r="H63" s="82"/>
    </row>
    <row r="64" spans="1:5" s="112" customFormat="1" ht="16.5" customHeight="1">
      <c r="A64" s="177" t="s">
        <v>362</v>
      </c>
      <c r="B64" s="178">
        <v>18</v>
      </c>
      <c r="C64" s="178">
        <v>4</v>
      </c>
      <c r="D64" s="181">
        <f>C64/2</f>
        <v>2</v>
      </c>
      <c r="E64" s="82"/>
    </row>
    <row r="65" spans="1:5" s="112" customFormat="1" ht="15.75" customHeight="1">
      <c r="A65" s="177" t="s">
        <v>363</v>
      </c>
      <c r="B65" s="109">
        <f>C21</f>
        <v>54</v>
      </c>
      <c r="C65" s="179"/>
      <c r="D65" s="335">
        <v>0.75</v>
      </c>
      <c r="E65" s="2"/>
    </row>
    <row r="66" spans="1:11" s="112" customFormat="1" ht="12.75" customHeight="1" thickBot="1">
      <c r="A66" s="421" t="s">
        <v>352</v>
      </c>
      <c r="B66" s="423">
        <v>40</v>
      </c>
      <c r="C66" s="422"/>
      <c r="D66" s="359"/>
      <c r="E66" s="2"/>
      <c r="J66"/>
      <c r="K66" s="82"/>
    </row>
    <row r="67" spans="5:11" s="112" customFormat="1" ht="12.75" customHeight="1">
      <c r="E67" s="2"/>
      <c r="J67"/>
      <c r="K67" s="82"/>
    </row>
    <row r="68" spans="1:11" s="112" customFormat="1" ht="12.75" customHeight="1">
      <c r="A68" s="82"/>
      <c r="B68" s="82"/>
      <c r="C68" s="82"/>
      <c r="D68" s="24"/>
      <c r="E68" s="47"/>
      <c r="J68"/>
      <c r="K68"/>
    </row>
    <row r="69" spans="4:11" s="112" customFormat="1" ht="12.75" customHeight="1">
      <c r="D69" s="82"/>
      <c r="E69" s="82"/>
      <c r="F69"/>
      <c r="G69"/>
      <c r="J69"/>
      <c r="K69"/>
    </row>
    <row r="70" spans="10:11" s="112" customFormat="1" ht="12.75" customHeight="1">
      <c r="J70"/>
      <c r="K70"/>
    </row>
    <row r="71" spans="7:8" s="112" customFormat="1" ht="12.75" customHeight="1">
      <c r="G71" s="111"/>
      <c r="H71" s="111"/>
    </row>
    <row r="72" spans="7:8" s="112" customFormat="1" ht="12.75" customHeight="1">
      <c r="G72" s="111"/>
      <c r="H72" s="111"/>
    </row>
    <row r="73" spans="7:8" s="112" customFormat="1" ht="12.75" customHeight="1">
      <c r="G73" s="111"/>
      <c r="H73" s="111"/>
    </row>
    <row r="74" spans="7:8" s="112" customFormat="1" ht="12.75" customHeight="1">
      <c r="G74" s="111"/>
      <c r="H74" s="111"/>
    </row>
    <row r="75" spans="7:8" s="112" customFormat="1" ht="12.75" customHeight="1">
      <c r="G75" s="111"/>
      <c r="H75" s="111"/>
    </row>
    <row r="76" spans="7:8" s="112" customFormat="1" ht="12.75" customHeight="1">
      <c r="G76" s="111"/>
      <c r="H76" s="111"/>
    </row>
    <row r="77" spans="7:8" s="112" customFormat="1" ht="12.75" customHeight="1">
      <c r="G77" s="111"/>
      <c r="H77" s="111"/>
    </row>
    <row r="78" spans="7:8" s="112" customFormat="1" ht="12.75" customHeight="1">
      <c r="G78" s="111"/>
      <c r="H78" s="111"/>
    </row>
    <row r="79" spans="7:8" s="112" customFormat="1" ht="12.75" customHeight="1">
      <c r="G79" s="111"/>
      <c r="H79" s="111"/>
    </row>
    <row r="80" spans="7:8" ht="12.75" customHeight="1">
      <c r="G80" s="111"/>
      <c r="H80" s="111"/>
    </row>
    <row r="81" spans="7:8" ht="12.75" customHeight="1">
      <c r="G81" s="111"/>
      <c r="H81" s="111"/>
    </row>
    <row r="82" spans="7:8" ht="12.75" customHeight="1">
      <c r="G82" s="111"/>
      <c r="H82" s="111"/>
    </row>
    <row r="83" spans="7:8" ht="12.75" customHeight="1">
      <c r="G83" s="111"/>
      <c r="H83" s="111"/>
    </row>
    <row r="84" spans="7:8" ht="12.75" customHeight="1">
      <c r="G84" s="111"/>
      <c r="H84" s="111"/>
    </row>
    <row r="85" spans="7:8" ht="15">
      <c r="G85" s="111"/>
      <c r="H85" s="111"/>
    </row>
    <row r="86" spans="7:8" ht="15">
      <c r="G86" s="111"/>
      <c r="H86" s="111"/>
    </row>
    <row r="105" spans="1:3" ht="15">
      <c r="A105" s="111"/>
      <c r="C105" s="2"/>
    </row>
    <row r="106" ht="15">
      <c r="A106" s="111"/>
    </row>
    <row r="107" ht="15">
      <c r="A107" s="111"/>
    </row>
    <row r="108" ht="15">
      <c r="A108" s="111"/>
    </row>
    <row r="109" spans="1:2" ht="15">
      <c r="A109" s="111"/>
      <c r="B10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21"/>
  <sheetViews>
    <sheetView zoomScale="75" zoomScaleNormal="75" workbookViewId="0" topLeftCell="A1">
      <selection activeCell="D38" sqref="D38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5" ht="27.75" customHeight="1">
      <c r="A1" s="40" t="s">
        <v>114</v>
      </c>
      <c r="B1" s="40"/>
      <c r="C1" s="40"/>
      <c r="D1" s="40"/>
      <c r="E1" s="2" t="s">
        <v>203</v>
      </c>
    </row>
    <row r="2" ht="11.25" customHeight="1">
      <c r="E2" s="10">
        <v>6.7</v>
      </c>
    </row>
    <row r="3" spans="2:5" ht="13.5" thickBot="1">
      <c r="B3" s="89" t="s">
        <v>66</v>
      </c>
      <c r="C3" s="89" t="s">
        <v>17</v>
      </c>
      <c r="D3" s="89" t="s">
        <v>18</v>
      </c>
      <c r="E3" s="2" t="s">
        <v>202</v>
      </c>
    </row>
    <row r="4" spans="1:7" ht="13.5" customHeight="1" thickBot="1">
      <c r="A4" s="2" t="s">
        <v>100</v>
      </c>
      <c r="B4" s="14">
        <f>G6</f>
        <v>19.6</v>
      </c>
      <c r="C4" s="2">
        <f>Param!C41</f>
        <v>1.1</v>
      </c>
      <c r="D4" s="2">
        <f aca="true" t="shared" si="0" ref="D4:D9">B4*C4</f>
        <v>21.560000000000002</v>
      </c>
      <c r="E4" s="10">
        <f>D4*$E$2</f>
        <v>144.45200000000003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43.76</v>
      </c>
      <c r="C5" s="2">
        <f>Param!C44</f>
        <v>0.01</v>
      </c>
      <c r="D5" s="2">
        <f t="shared" si="0"/>
        <v>0.4376</v>
      </c>
      <c r="E5" s="10">
        <f aca="true" t="shared" si="1" ref="E5:E55">D5*$E$2</f>
        <v>2.93192</v>
      </c>
      <c r="F5" s="42" t="s">
        <v>113</v>
      </c>
      <c r="G5" s="106">
        <f>Param!$B$9</f>
        <v>16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E6" s="10">
        <f t="shared" si="1"/>
        <v>39.0677</v>
      </c>
      <c r="F6" s="74" t="s">
        <v>105</v>
      </c>
      <c r="G6" s="106">
        <f>Param!$B$12</f>
        <v>19.6</v>
      </c>
    </row>
    <row r="7" spans="1:8" ht="12.75">
      <c r="A7" s="2" t="s">
        <v>184</v>
      </c>
      <c r="B7" s="14">
        <f>G6</f>
        <v>19.6</v>
      </c>
      <c r="C7" s="2">
        <f>Param!$C$45</f>
        <v>0.13</v>
      </c>
      <c r="D7" s="2">
        <f t="shared" si="0"/>
        <v>2.5480000000000005</v>
      </c>
      <c r="E7" s="10">
        <f t="shared" si="1"/>
        <v>17.071600000000004</v>
      </c>
      <c r="F7" s="45" t="s">
        <v>153</v>
      </c>
      <c r="G7" s="29">
        <f>Param!B18</f>
        <v>4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E8" s="10">
        <f t="shared" si="1"/>
        <v>19.698</v>
      </c>
      <c r="F8" s="43" t="s">
        <v>154</v>
      </c>
      <c r="G8" s="29">
        <f>Param!B18*(1+Param!B19)</f>
        <v>5.6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E9" s="10">
        <f t="shared" si="1"/>
        <v>13.132000000000001</v>
      </c>
      <c r="F9" s="51" t="s">
        <v>70</v>
      </c>
      <c r="G9" s="119">
        <f>Param!$B$15</f>
        <v>7500</v>
      </c>
    </row>
    <row r="10" spans="1:7" ht="12.75">
      <c r="A10" s="15" t="s">
        <v>201</v>
      </c>
      <c r="B10" s="103"/>
      <c r="C10" s="102"/>
      <c r="D10" s="15">
        <f>SUM(D4:D9)</f>
        <v>35.2766</v>
      </c>
      <c r="E10" s="10">
        <f t="shared" si="1"/>
        <v>236.35322000000002</v>
      </c>
      <c r="F10" s="51" t="s">
        <v>171</v>
      </c>
      <c r="G10" s="120">
        <f>G9*365</f>
        <v>2737500</v>
      </c>
    </row>
    <row r="11" spans="2:7" ht="12.75">
      <c r="B11" s="11"/>
      <c r="E11" s="10">
        <f t="shared" si="1"/>
        <v>0</v>
      </c>
      <c r="F11" s="51" t="s">
        <v>375</v>
      </c>
      <c r="G11" s="120">
        <f>G7*G10</f>
        <v>10950000</v>
      </c>
    </row>
    <row r="12" spans="1:7" ht="12.75">
      <c r="A12" s="2" t="s">
        <v>93</v>
      </c>
      <c r="B12" s="10">
        <f>$G$5*Param!$B$46</f>
        <v>16</v>
      </c>
      <c r="C12" s="2">
        <f>Param!E46</f>
        <v>0.2</v>
      </c>
      <c r="D12" s="2">
        <f>B12*C12</f>
        <v>3.2</v>
      </c>
      <c r="E12" s="10">
        <f t="shared" si="1"/>
        <v>21.44</v>
      </c>
      <c r="F12" s="51" t="s">
        <v>376</v>
      </c>
      <c r="G12" s="120">
        <f>G8*G10</f>
        <v>15329999.999999998</v>
      </c>
    </row>
    <row r="13" spans="1:7" ht="13.5" thickBot="1">
      <c r="A13" s="4" t="s">
        <v>72</v>
      </c>
      <c r="B13" s="4">
        <f>$G$5*Param!$B$47</f>
        <v>0</v>
      </c>
      <c r="C13" s="4">
        <f>Param!E47</f>
        <v>1.1</v>
      </c>
      <c r="D13" s="4">
        <f>B13*C13</f>
        <v>0</v>
      </c>
      <c r="E13" s="10">
        <f t="shared" si="1"/>
        <v>0</v>
      </c>
      <c r="F13" s="105" t="s">
        <v>181</v>
      </c>
      <c r="G13" s="132">
        <f>G9*Param!B20</f>
        <v>1500</v>
      </c>
    </row>
    <row r="14" spans="1:7" ht="12.75">
      <c r="A14" s="104" t="s">
        <v>110</v>
      </c>
      <c r="B14" s="101"/>
      <c r="C14" s="100"/>
      <c r="D14" s="104">
        <f>SUM(D12:D13)</f>
        <v>3.2</v>
      </c>
      <c r="E14" s="10">
        <f t="shared" si="1"/>
        <v>21.44</v>
      </c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10">
        <f t="shared" si="1"/>
        <v>0</v>
      </c>
      <c r="F15" s="105" t="s">
        <v>180</v>
      </c>
      <c r="G15" s="35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38.476600000000005</v>
      </c>
      <c r="E16" s="10">
        <f t="shared" si="1"/>
        <v>257.79322</v>
      </c>
      <c r="F16" s="45" t="s">
        <v>178</v>
      </c>
      <c r="G16" s="260">
        <f>Param!B31</f>
        <v>2.2</v>
      </c>
      <c r="H16" s="2" t="s">
        <v>289</v>
      </c>
    </row>
    <row r="17" spans="1:5" ht="12.75">
      <c r="A17" s="24"/>
      <c r="B17" s="33"/>
      <c r="C17" s="30"/>
      <c r="D17" s="24"/>
      <c r="E17" s="10">
        <f t="shared" si="1"/>
        <v>0</v>
      </c>
    </row>
    <row r="18" spans="1:5" ht="13.5" thickBot="1">
      <c r="A18" s="18" t="s">
        <v>97</v>
      </c>
      <c r="B18" s="19">
        <f>Param!C56</f>
        <v>3</v>
      </c>
      <c r="C18" s="19">
        <f>B30*Param!B56</f>
        <v>0.34567901234567905</v>
      </c>
      <c r="D18" s="18">
        <f>C18+B18</f>
        <v>3.345679012345679</v>
      </c>
      <c r="E18" s="10">
        <f t="shared" si="1"/>
        <v>22.41604938271605</v>
      </c>
    </row>
    <row r="19" spans="1:5" ht="12.75">
      <c r="A19" s="32"/>
      <c r="B19" s="96"/>
      <c r="C19" s="96"/>
      <c r="D19" s="32"/>
      <c r="E19" s="10">
        <f t="shared" si="1"/>
        <v>0</v>
      </c>
    </row>
    <row r="20" spans="1:5" ht="12.75">
      <c r="A20" s="15" t="s">
        <v>193</v>
      </c>
      <c r="B20" s="17"/>
      <c r="C20" s="17"/>
      <c r="D20" s="15">
        <f>D16+D18</f>
        <v>41.82227901234568</v>
      </c>
      <c r="E20" s="10">
        <f t="shared" si="1"/>
        <v>280.20926938271606</v>
      </c>
    </row>
    <row r="21" ht="12.75">
      <c r="E21" s="10">
        <f t="shared" si="1"/>
        <v>0</v>
      </c>
    </row>
    <row r="22" spans="1:5" ht="12.75">
      <c r="A22" s="2" t="s">
        <v>4</v>
      </c>
      <c r="B22" s="14"/>
      <c r="C22" s="30"/>
      <c r="D22" s="30">
        <v>0.05</v>
      </c>
      <c r="E22" s="10">
        <f t="shared" si="1"/>
        <v>0.335</v>
      </c>
    </row>
    <row r="23" spans="1:5" ht="12.75">
      <c r="A23" s="2" t="s">
        <v>5</v>
      </c>
      <c r="B23" s="31">
        <f>$G$5</f>
        <v>16</v>
      </c>
      <c r="C23" s="2">
        <f>Param!C53</f>
        <v>0.1</v>
      </c>
      <c r="D23" s="2">
        <f>B23*C23</f>
        <v>1.6</v>
      </c>
      <c r="E23" s="10">
        <f t="shared" si="1"/>
        <v>10.72</v>
      </c>
    </row>
    <row r="24" spans="1:5" ht="12.75">
      <c r="A24" s="2" t="s">
        <v>6</v>
      </c>
      <c r="B24" s="11">
        <f>B12+B13</f>
        <v>16</v>
      </c>
      <c r="C24" s="2">
        <f>Param!C51</f>
        <v>0.005</v>
      </c>
      <c r="D24" s="2">
        <f>B24*C24</f>
        <v>0.08</v>
      </c>
      <c r="E24" s="10">
        <f t="shared" si="1"/>
        <v>0.536</v>
      </c>
    </row>
    <row r="25" spans="1:5" ht="13.5" thickBot="1">
      <c r="A25" s="4" t="s">
        <v>16</v>
      </c>
      <c r="B25" s="123">
        <f>$G$5</f>
        <v>16</v>
      </c>
      <c r="C25" s="26">
        <f>Param!C54</f>
        <v>0.01</v>
      </c>
      <c r="D25" s="4">
        <f>B25*C25+Param!C52</f>
        <v>1.16</v>
      </c>
      <c r="E25" s="10">
        <f t="shared" si="1"/>
        <v>7.771999999999999</v>
      </c>
    </row>
    <row r="26" spans="1:5" ht="12.75">
      <c r="A26" s="15" t="s">
        <v>91</v>
      </c>
      <c r="B26" s="16"/>
      <c r="C26" s="17"/>
      <c r="D26" s="15">
        <f>SUM(D22:D25)</f>
        <v>2.89</v>
      </c>
      <c r="E26" s="10">
        <f t="shared" si="1"/>
        <v>19.363000000000003</v>
      </c>
    </row>
    <row r="27" spans="1:5" ht="12.75">
      <c r="A27" s="24"/>
      <c r="B27" s="33"/>
      <c r="C27" s="30"/>
      <c r="D27" s="24"/>
      <c r="E27" s="10"/>
    </row>
    <row r="28" spans="1:5" ht="12.75">
      <c r="A28" s="15" t="s">
        <v>194</v>
      </c>
      <c r="B28" s="17"/>
      <c r="C28" s="17"/>
      <c r="D28" s="15">
        <f>D16+D18+D26</f>
        <v>44.71227901234568</v>
      </c>
      <c r="E28" s="10">
        <f t="shared" si="1"/>
        <v>299.57226938271606</v>
      </c>
    </row>
    <row r="29" spans="1:5" ht="12.75">
      <c r="A29" s="24"/>
      <c r="B29" s="33"/>
      <c r="C29" s="30"/>
      <c r="D29" s="24"/>
      <c r="E29" s="10"/>
    </row>
    <row r="30" spans="1:5" ht="12.75">
      <c r="A30" s="15" t="s">
        <v>15</v>
      </c>
      <c r="B30" s="118">
        <f>G13*G14/(Param!C19*(1-Param!B19))</f>
        <v>172.83950617283952</v>
      </c>
      <c r="C30" s="17">
        <f>Param!$C$58</f>
        <v>0.025</v>
      </c>
      <c r="D30" s="15">
        <f>B30*C30</f>
        <v>4.320987654320988</v>
      </c>
      <c r="E30" s="10">
        <f t="shared" si="1"/>
        <v>28.95061728395062</v>
      </c>
    </row>
    <row r="31" spans="2:5" ht="12.75">
      <c r="B31" s="12"/>
      <c r="E31" s="10"/>
    </row>
    <row r="32" spans="1:5" ht="12.75">
      <c r="A32" s="15" t="s">
        <v>92</v>
      </c>
      <c r="B32" s="16"/>
      <c r="C32" s="100"/>
      <c r="D32" s="15">
        <f>D28+D30</f>
        <v>49.03326666666667</v>
      </c>
      <c r="E32" s="10">
        <f t="shared" si="1"/>
        <v>328.5228866666667</v>
      </c>
    </row>
    <row r="33" spans="2:5" ht="12.75">
      <c r="B33" s="108" t="s">
        <v>112</v>
      </c>
      <c r="C33" s="108"/>
      <c r="E33" s="10"/>
    </row>
    <row r="34" spans="1:5" ht="12.75">
      <c r="A34" s="2" t="s">
        <v>101</v>
      </c>
      <c r="B34" s="3">
        <f>Param!B60</f>
        <v>5</v>
      </c>
      <c r="C34" s="2">
        <f>Param!C60*D32</f>
        <v>2.4516633333333337</v>
      </c>
      <c r="D34" s="88">
        <f>B34+C34</f>
        <v>7.451663333333334</v>
      </c>
      <c r="E34" s="10">
        <f t="shared" si="1"/>
        <v>49.92614433333334</v>
      </c>
    </row>
    <row r="35" spans="1:5" ht="13.5" thickBot="1">
      <c r="A35" s="4" t="s">
        <v>98</v>
      </c>
      <c r="B35" s="4">
        <f>Param!B61</f>
        <v>0</v>
      </c>
      <c r="C35" s="4">
        <f>Param!C61*D32</f>
        <v>2.4516633333333337</v>
      </c>
      <c r="D35" s="4">
        <f>B35+C35</f>
        <v>2.4516633333333337</v>
      </c>
      <c r="E35" s="10">
        <f t="shared" si="1"/>
        <v>16.426144333333337</v>
      </c>
    </row>
    <row r="36" spans="1:5" ht="12.75">
      <c r="A36" s="15" t="s">
        <v>188</v>
      </c>
      <c r="B36" s="16"/>
      <c r="C36" s="17"/>
      <c r="D36" s="15">
        <f>SUM(D34:D35)</f>
        <v>9.903326666666668</v>
      </c>
      <c r="E36" s="10">
        <f t="shared" si="1"/>
        <v>66.35228866666668</v>
      </c>
    </row>
    <row r="37" spans="1:5" ht="13.5" thickBot="1">
      <c r="A37" s="1"/>
      <c r="D37" s="1"/>
      <c r="E37" s="10"/>
    </row>
    <row r="38" spans="1:5" ht="13.5" thickBot="1">
      <c r="A38" s="15" t="s">
        <v>7</v>
      </c>
      <c r="B38" s="16"/>
      <c r="C38" s="17"/>
      <c r="D38" s="34">
        <f>D32+D36</f>
        <v>58.936593333333334</v>
      </c>
      <c r="E38" s="10">
        <f t="shared" si="1"/>
        <v>394.87517533333335</v>
      </c>
    </row>
    <row r="39" s="30" customFormat="1" ht="12.75">
      <c r="E39" s="10"/>
    </row>
    <row r="40" spans="1:5" s="30" customFormat="1" ht="12.75">
      <c r="A40" s="2" t="s">
        <v>266</v>
      </c>
      <c r="B40" s="14">
        <f>G5*Param!G51</f>
        <v>3.2</v>
      </c>
      <c r="C40" s="2">
        <f>(Param!G49+Param!G50)</f>
        <v>7</v>
      </c>
      <c r="D40" s="84">
        <f>(B40+C40)*Param!H51</f>
        <v>0.714</v>
      </c>
      <c r="E40" s="10">
        <f t="shared" si="1"/>
        <v>4.7838</v>
      </c>
    </row>
    <row r="41" spans="1:5" ht="12.75">
      <c r="A41" s="2" t="s">
        <v>8</v>
      </c>
      <c r="B41" s="14">
        <f>G5</f>
        <v>16</v>
      </c>
      <c r="C41" s="2">
        <f>Param!H52</f>
        <v>0</v>
      </c>
      <c r="D41" s="39">
        <f>Param!H52</f>
        <v>0</v>
      </c>
      <c r="E41" s="10">
        <f t="shared" si="1"/>
        <v>0</v>
      </c>
    </row>
    <row r="42" spans="1:5" ht="12.75">
      <c r="A42" s="2" t="s">
        <v>192</v>
      </c>
      <c r="B42" s="35">
        <f>G12</f>
        <v>15329999.999999998</v>
      </c>
      <c r="C42" s="12">
        <f>Param!H38*Param!H39</f>
        <v>0.01125</v>
      </c>
      <c r="D42" s="84">
        <f>(B42*C42)/1000000</f>
        <v>0.17246249999999996</v>
      </c>
      <c r="E42" s="10">
        <f t="shared" si="1"/>
        <v>1.1554987499999998</v>
      </c>
    </row>
    <row r="43" spans="1:5" ht="12.75">
      <c r="A43" s="2" t="s">
        <v>191</v>
      </c>
      <c r="B43" s="35">
        <f>G12</f>
        <v>15329999.999999998</v>
      </c>
      <c r="C43" s="12">
        <f>Param!H38*Param!H40</f>
        <v>0.0075</v>
      </c>
      <c r="D43" s="84">
        <f>(B43*C43)/1000000</f>
        <v>0.11497499999999998</v>
      </c>
      <c r="E43" s="10">
        <f t="shared" si="1"/>
        <v>0.7703324999999999</v>
      </c>
    </row>
    <row r="44" spans="1:5" ht="12.75">
      <c r="A44" s="2" t="s">
        <v>118</v>
      </c>
      <c r="B44" s="35">
        <f>G12</f>
        <v>15329999.999999998</v>
      </c>
      <c r="C44" s="86">
        <f>Param!G43</f>
        <v>0.001</v>
      </c>
      <c r="D44" s="84">
        <f>B44*C44/1000000</f>
        <v>0.015329999999999998</v>
      </c>
      <c r="E44" s="10">
        <f t="shared" si="1"/>
        <v>0.102711</v>
      </c>
    </row>
    <row r="45" spans="1:5" ht="12.75">
      <c r="A45" s="2" t="s">
        <v>20</v>
      </c>
      <c r="B45" s="2">
        <f>Param!G44</f>
        <v>0.02</v>
      </c>
      <c r="C45" s="12">
        <f>D32*B45</f>
        <v>0.9806653333333334</v>
      </c>
      <c r="D45" s="84">
        <f>B45*C45</f>
        <v>0.019613306666666667</v>
      </c>
      <c r="E45" s="10">
        <f t="shared" si="1"/>
        <v>0.13140915466666667</v>
      </c>
    </row>
    <row r="46" spans="1:5" ht="12.75">
      <c r="A46" s="2" t="s">
        <v>195</v>
      </c>
      <c r="B46" s="2">
        <f>SUM(D22:D25)</f>
        <v>2.89</v>
      </c>
      <c r="C46" s="12">
        <f>Param!G45</f>
        <v>0.02</v>
      </c>
      <c r="D46" s="84">
        <f>B46*C46</f>
        <v>0.057800000000000004</v>
      </c>
      <c r="E46" s="10">
        <f t="shared" si="1"/>
        <v>0.38726000000000005</v>
      </c>
    </row>
    <row r="47" spans="1:5" ht="13.5" thickBot="1">
      <c r="A47" s="4" t="s">
        <v>227</v>
      </c>
      <c r="B47" s="123">
        <f>B30</f>
        <v>172.83950617283952</v>
      </c>
      <c r="C47" s="26">
        <f>Param!H46</f>
        <v>0.0002</v>
      </c>
      <c r="D47" s="143">
        <f>B47*C47</f>
        <v>0.034567901234567905</v>
      </c>
      <c r="E47" s="10">
        <f t="shared" si="1"/>
        <v>0.23160493827160497</v>
      </c>
    </row>
    <row r="48" spans="1:5" ht="12.75">
      <c r="A48" s="15" t="s">
        <v>23</v>
      </c>
      <c r="B48" s="17"/>
      <c r="C48" s="17"/>
      <c r="D48" s="15">
        <f>SUM(D39:D46)</f>
        <v>1.0941808066666667</v>
      </c>
      <c r="E48" s="10">
        <f t="shared" si="1"/>
        <v>7.3310114046666675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4">
        <f>Param!G55</f>
        <v>76</v>
      </c>
      <c r="C50" s="25">
        <f>100/B50</f>
        <v>1.3157894736842106</v>
      </c>
      <c r="D50" s="2">
        <f>D35/B50</f>
        <v>0.03225872807017544</v>
      </c>
      <c r="E50" s="10">
        <f t="shared" si="1"/>
        <v>0.21613347807017547</v>
      </c>
      <c r="F50" s="44">
        <f>-D57*B57</f>
        <v>9.903326666666668</v>
      </c>
    </row>
    <row r="51" spans="1:7" ht="12.75">
      <c r="A51" s="2" t="s">
        <v>274</v>
      </c>
      <c r="B51" s="14">
        <f>Param!G55</f>
        <v>76</v>
      </c>
      <c r="C51" s="25">
        <f>100/B51</f>
        <v>1.3157894736842106</v>
      </c>
      <c r="D51" s="2">
        <f>D34/B51</f>
        <v>0.09804820175438597</v>
      </c>
      <c r="E51" s="10">
        <f t="shared" si="1"/>
        <v>0.656922951754386</v>
      </c>
      <c r="F51" s="44">
        <f>-D58*B58</f>
        <v>0.7119246918635841</v>
      </c>
      <c r="G51" s="44">
        <f>F51</f>
        <v>0.7119246918635841</v>
      </c>
    </row>
    <row r="52" spans="1:7" ht="12.75">
      <c r="A52" s="2" t="s">
        <v>273</v>
      </c>
      <c r="B52" s="14">
        <f>Param!G55</f>
        <v>76</v>
      </c>
      <c r="C52" s="25">
        <f>100/B52</f>
        <v>1.3157894736842106</v>
      </c>
      <c r="D52" s="2">
        <f>D28/B52</f>
        <v>0.588319460688759</v>
      </c>
      <c r="E52" s="10">
        <f t="shared" si="1"/>
        <v>3.941740386614685</v>
      </c>
      <c r="F52" s="44">
        <f>-D59*B59</f>
        <v>5.630744998989849</v>
      </c>
      <c r="G52" s="2">
        <f>F52</f>
        <v>5.630744998989849</v>
      </c>
    </row>
    <row r="53" spans="1:7" ht="12.75">
      <c r="A53" s="2" t="s">
        <v>275</v>
      </c>
      <c r="B53" s="14">
        <f>Param!G56</f>
        <v>26</v>
      </c>
      <c r="C53" s="25">
        <f>100/B53</f>
        <v>3.8461538461538463</v>
      </c>
      <c r="D53" s="2">
        <f>D30/B53</f>
        <v>0.16619183285849953</v>
      </c>
      <c r="E53" s="10">
        <f t="shared" si="1"/>
        <v>1.1134852801519468</v>
      </c>
      <c r="F53" s="44">
        <f>-D60*B60</f>
        <v>2.1979668903280114</v>
      </c>
      <c r="G53" s="2">
        <f>F53*2</f>
        <v>4.395933780656023</v>
      </c>
    </row>
    <row r="54" spans="1:9" ht="13.5" thickBot="1">
      <c r="A54" s="9" t="s">
        <v>276</v>
      </c>
      <c r="B54" s="242">
        <f>Param!G61</f>
        <v>13</v>
      </c>
      <c r="C54" s="27">
        <f>100/B54</f>
        <v>7.6923076923076925</v>
      </c>
      <c r="D54" s="9">
        <f>D26/C54</f>
        <v>0.3757</v>
      </c>
      <c r="E54" s="10">
        <f t="shared" si="1"/>
        <v>2.51719</v>
      </c>
      <c r="F54" s="44">
        <f>-D61*B61</f>
        <v>2.121043097351527</v>
      </c>
      <c r="G54" s="5">
        <f>F54*6</f>
        <v>12.726258584109162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1.1302112935472584</v>
      </c>
      <c r="E55" s="10">
        <f t="shared" si="1"/>
        <v>7.572415666766632</v>
      </c>
      <c r="F55" s="44">
        <f>SUM(F51:F54)</f>
        <v>10.661679678532973</v>
      </c>
      <c r="G55" s="1">
        <f>SUM(G51:G54)</f>
        <v>23.464862055618617</v>
      </c>
      <c r="H55" s="1">
        <f>I66*20</f>
        <v>62.28043890924227</v>
      </c>
      <c r="I55" s="1">
        <f>I75*10</f>
        <v>78.60894575576631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0.13030692982456143</v>
      </c>
      <c r="G57" s="2" t="s">
        <v>169</v>
      </c>
      <c r="H57" s="2" t="s">
        <v>170</v>
      </c>
    </row>
    <row r="58" spans="1:9" ht="12.75">
      <c r="A58" s="2" t="s">
        <v>278</v>
      </c>
      <c r="B58" s="14">
        <f>-Param!$G$55</f>
        <v>-76</v>
      </c>
      <c r="C58" s="10">
        <f>Param!$B$38</f>
        <v>0.05</v>
      </c>
      <c r="D58" s="2">
        <f>PMT(C57,B58,D34)</f>
        <v>0.00936743015609979</v>
      </c>
      <c r="E58" s="2">
        <f>D36</f>
        <v>9.903326666666668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0.07408874998670854</v>
      </c>
      <c r="E59" s="2">
        <f>D32</f>
        <v>49.03326666666667</v>
      </c>
      <c r="F59" s="164" t="s">
        <v>28</v>
      </c>
      <c r="G59" s="165">
        <f>$D$67</f>
        <v>1.0608968560493828</v>
      </c>
      <c r="H59" s="166">
        <f>$G$12</f>
        <v>15329999.999999998</v>
      </c>
      <c r="I59" s="167">
        <f>(G59/H59)*1000000</f>
        <v>0.06920396973577188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0.0845371880895389</v>
      </c>
      <c r="E60" s="2">
        <f>D30</f>
        <v>4.320987654320988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0.16315716133473285</v>
      </c>
      <c r="E61" s="5">
        <f>D26</f>
        <v>2.89</v>
      </c>
      <c r="F61" s="37" t="s">
        <v>234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0.32178309941098027</v>
      </c>
      <c r="E62" s="30">
        <f>SUM(E58:E61)</f>
        <v>66.14758098765432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1.4519943929582386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2.104878333333333</v>
      </c>
    </row>
    <row r="65" spans="1:9" ht="12.75">
      <c r="A65" s="24" t="s">
        <v>291</v>
      </c>
      <c r="B65" s="30"/>
      <c r="C65" s="30"/>
      <c r="D65" s="85">
        <f>D48+D64</f>
        <v>2.5461751996249053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1.0091436121287805</v>
      </c>
    </row>
    <row r="66" spans="1:9" ht="12.75">
      <c r="A66" s="24" t="s">
        <v>292</v>
      </c>
      <c r="B66" s="30"/>
      <c r="C66" s="30"/>
      <c r="D66" s="85">
        <f>D65-D80</f>
        <v>2.5128912490076214</v>
      </c>
      <c r="F66" s="161" t="s">
        <v>212</v>
      </c>
      <c r="G66" s="100"/>
      <c r="H66" s="100"/>
      <c r="I66" s="162">
        <f>SUM(I64:I65)</f>
        <v>3.1140219454621136</v>
      </c>
    </row>
    <row r="67" spans="1:9" ht="12.75">
      <c r="A67" s="24" t="s">
        <v>293</v>
      </c>
      <c r="B67" s="30"/>
      <c r="C67" s="30"/>
      <c r="D67" s="85">
        <f>D48-D80</f>
        <v>1.0608968560493828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4.174918801511496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4.174918801511496</v>
      </c>
      <c r="H69" s="166">
        <f>$G$12</f>
        <v>15329999.999999998</v>
      </c>
      <c r="I69" s="167">
        <f>(G69/H69)*1000000</f>
        <v>0.2723365167326482</v>
      </c>
    </row>
    <row r="70" spans="1:9" ht="13.5" thickBot="1">
      <c r="A70" s="24" t="s">
        <v>71</v>
      </c>
      <c r="B70" s="124">
        <f>G10</f>
        <v>2737500</v>
      </c>
      <c r="C70" s="125">
        <f>G16</f>
        <v>2.2</v>
      </c>
      <c r="D70" s="47">
        <f>B70*C70*Param!$B$32/1000000</f>
        <v>6.022500000000001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6.022500000000001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4.533584102564102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3.3273104730125285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7.860894575576631</v>
      </c>
    </row>
    <row r="76" spans="1:9" ht="12.75">
      <c r="A76" s="3" t="s">
        <v>11</v>
      </c>
      <c r="B76" s="11">
        <f>$G$5</f>
        <v>16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16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8.921791431626014</v>
      </c>
    </row>
    <row r="78" spans="1:9" ht="13.5" thickBot="1">
      <c r="A78" s="36" t="s">
        <v>29</v>
      </c>
      <c r="B78" s="107">
        <f>B12+B13</f>
        <v>16</v>
      </c>
      <c r="C78" s="36">
        <f>Param!$G$33</f>
        <v>0.001</v>
      </c>
      <c r="D78" s="36">
        <f>B78*C78</f>
        <v>0.016</v>
      </c>
      <c r="F78" s="164" t="s">
        <v>37</v>
      </c>
      <c r="G78" s="165">
        <f>I77</f>
        <v>8.921791431626014</v>
      </c>
      <c r="H78" s="166">
        <f>$G$12</f>
        <v>15329999.999999998</v>
      </c>
      <c r="I78" s="167">
        <f>(G78/H78)*1000000</f>
        <v>0.5819824808627537</v>
      </c>
    </row>
    <row r="79" spans="1:4" ht="13.5" thickBot="1">
      <c r="A79" s="38" t="s">
        <v>30</v>
      </c>
      <c r="B79" s="13">
        <f>B30</f>
        <v>172.83950617283952</v>
      </c>
      <c r="C79" s="4">
        <f>Param!$G$34</f>
        <v>0.0001</v>
      </c>
      <c r="D79" s="126">
        <f>B79*C79</f>
        <v>0.017283950617283952</v>
      </c>
    </row>
    <row r="80" spans="1:5" ht="12.75">
      <c r="A80" s="94" t="s">
        <v>34</v>
      </c>
      <c r="B80" s="94"/>
      <c r="C80" s="94"/>
      <c r="D80" s="93">
        <f>SUM(D75:D79)</f>
        <v>0.03328395061728395</v>
      </c>
      <c r="E80" s="30"/>
    </row>
    <row r="81" spans="1:5" ht="12.75">
      <c r="A81" s="94" t="s">
        <v>35</v>
      </c>
      <c r="B81" s="94"/>
      <c r="C81" s="94"/>
      <c r="D81" s="93">
        <f>$D$72+$D$80</f>
        <v>6.055783950617284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1.0941808066666667</v>
      </c>
    </row>
    <row r="84" spans="1:4" ht="15.75">
      <c r="A84" s="146" t="s">
        <v>198</v>
      </c>
      <c r="B84" s="147"/>
      <c r="C84" s="147"/>
      <c r="D84" s="259">
        <f>D81-D83</f>
        <v>4.961603143950618</v>
      </c>
    </row>
    <row r="85" spans="1:4" ht="12.75">
      <c r="A85" s="6"/>
      <c r="B85" s="6"/>
      <c r="C85" s="6"/>
      <c r="D85" s="6"/>
    </row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9.903326666666668</v>
      </c>
      <c r="C89" s="59">
        <v>0</v>
      </c>
      <c r="D89" s="59"/>
      <c r="E89" s="63">
        <f>+B89*-1</f>
        <v>-9.903326666666668</v>
      </c>
      <c r="F89" s="64">
        <f>IRR(E89:E101,0.1)</f>
        <v>-0.04018272513171066</v>
      </c>
      <c r="G89" s="81">
        <f>NPV(Param!$B$38,E89:E101)</f>
        <v>-23.56375931022201</v>
      </c>
    </row>
    <row r="90" spans="1:7" ht="12.75">
      <c r="A90" s="59">
        <v>2</v>
      </c>
      <c r="B90" s="62">
        <f>0.4*D32</f>
        <v>19.61330666666667</v>
      </c>
      <c r="C90" s="59">
        <v>0</v>
      </c>
      <c r="D90" s="59"/>
      <c r="E90" s="63">
        <f>+B90*-1</f>
        <v>-19.61330666666667</v>
      </c>
      <c r="F90" s="65"/>
      <c r="G90" s="65"/>
    </row>
    <row r="91" spans="1:7" ht="12.75">
      <c r="A91" s="59">
        <v>3</v>
      </c>
      <c r="B91" s="62">
        <f>0.6*D32</f>
        <v>29.41996</v>
      </c>
      <c r="C91" s="59">
        <v>0</v>
      </c>
      <c r="D91" s="59"/>
      <c r="E91" s="63">
        <f>+B91*-1</f>
        <v>-29.41996</v>
      </c>
      <c r="F91" s="66"/>
      <c r="G91" s="65"/>
    </row>
    <row r="92" spans="1:7" ht="12.75">
      <c r="A92" s="59">
        <v>4</v>
      </c>
      <c r="B92" s="59"/>
      <c r="C92" s="67">
        <f>$D$84*0.3</f>
        <v>1.4884809431851853</v>
      </c>
      <c r="D92" s="59"/>
      <c r="E92" s="63">
        <f aca="true" t="shared" si="2" ref="E92:E101">C92</f>
        <v>1.4884809431851853</v>
      </c>
      <c r="F92" s="65"/>
      <c r="G92" s="65"/>
    </row>
    <row r="93" spans="1:7" ht="12.75">
      <c r="A93" s="59">
        <v>5</v>
      </c>
      <c r="B93" s="59"/>
      <c r="C93" s="67">
        <f>$D$84*0.7</f>
        <v>3.4731222007654323</v>
      </c>
      <c r="D93" s="59"/>
      <c r="E93" s="63">
        <f t="shared" si="2"/>
        <v>3.4731222007654323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4.961603143950618</v>
      </c>
      <c r="D94" s="59"/>
      <c r="E94" s="63">
        <f t="shared" si="2"/>
        <v>4.961603143950618</v>
      </c>
      <c r="F94" s="66"/>
      <c r="G94" s="65"/>
    </row>
    <row r="95" spans="1:7" ht="12.75">
      <c r="A95" s="59">
        <v>7</v>
      </c>
      <c r="B95" s="59"/>
      <c r="C95" s="67">
        <f t="shared" si="3"/>
        <v>4.961603143950618</v>
      </c>
      <c r="D95" s="59"/>
      <c r="E95" s="63">
        <f t="shared" si="2"/>
        <v>4.961603143950618</v>
      </c>
      <c r="F95" s="66"/>
      <c r="G95" s="65"/>
    </row>
    <row r="96" spans="1:7" ht="12.75">
      <c r="A96" s="59">
        <v>8</v>
      </c>
      <c r="B96" s="59"/>
      <c r="C96" s="67">
        <f t="shared" si="3"/>
        <v>4.961603143950618</v>
      </c>
      <c r="D96" s="59"/>
      <c r="E96" s="63">
        <f t="shared" si="2"/>
        <v>4.961603143950618</v>
      </c>
      <c r="F96" s="66"/>
      <c r="G96" s="65"/>
    </row>
    <row r="97" spans="1:7" ht="12.75">
      <c r="A97" s="59">
        <v>9</v>
      </c>
      <c r="B97" s="59"/>
      <c r="C97" s="67">
        <f t="shared" si="3"/>
        <v>4.961603143950618</v>
      </c>
      <c r="D97" s="59"/>
      <c r="E97" s="63">
        <f t="shared" si="2"/>
        <v>4.961603143950618</v>
      </c>
      <c r="F97" s="66"/>
      <c r="G97" s="65"/>
    </row>
    <row r="98" spans="1:7" ht="12.75">
      <c r="A98" s="59">
        <v>10</v>
      </c>
      <c r="B98" s="59"/>
      <c r="C98" s="67">
        <f t="shared" si="3"/>
        <v>4.961603143950618</v>
      </c>
      <c r="D98" s="59"/>
      <c r="E98" s="63">
        <f t="shared" si="2"/>
        <v>4.961603143950618</v>
      </c>
      <c r="F98" s="66"/>
      <c r="G98" s="65"/>
    </row>
    <row r="99" spans="1:7" ht="12.75">
      <c r="A99" s="59">
        <v>11</v>
      </c>
      <c r="B99" s="59"/>
      <c r="C99" s="67">
        <f t="shared" si="3"/>
        <v>4.961603143950618</v>
      </c>
      <c r="D99" s="59"/>
      <c r="E99" s="63">
        <f t="shared" si="2"/>
        <v>4.961603143950618</v>
      </c>
      <c r="F99" s="66"/>
      <c r="G99" s="65"/>
    </row>
    <row r="100" spans="1:7" ht="12.75">
      <c r="A100" s="59">
        <v>12</v>
      </c>
      <c r="B100" s="59"/>
      <c r="C100" s="67">
        <f t="shared" si="3"/>
        <v>4.961603143950618</v>
      </c>
      <c r="D100" s="59"/>
      <c r="E100" s="63">
        <f t="shared" si="2"/>
        <v>4.961603143950618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4.961603143950618</v>
      </c>
      <c r="D101" s="138"/>
      <c r="E101" s="140">
        <f t="shared" si="2"/>
        <v>4.961603143950618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6.055783950617284</v>
      </c>
    </row>
    <row r="104" spans="1:4" ht="12.75">
      <c r="A104" s="53" t="s">
        <v>290</v>
      </c>
      <c r="B104" s="53"/>
      <c r="C104" s="53"/>
      <c r="D104" s="53">
        <f>$D$48</f>
        <v>1.0941808066666667</v>
      </c>
    </row>
    <row r="105" spans="1:4" ht="16.5" thickBot="1">
      <c r="A105" s="54" t="s">
        <v>197</v>
      </c>
      <c r="B105" s="55"/>
      <c r="C105" s="55"/>
      <c r="D105" s="55">
        <f>D103-D104</f>
        <v>4.961603143950618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9.903326666666668</v>
      </c>
      <c r="C109" s="59">
        <v>0</v>
      </c>
      <c r="D109" s="59"/>
      <c r="E109" s="63">
        <f>+B109*-1</f>
        <v>-9.903326666666668</v>
      </c>
      <c r="F109" s="64">
        <f>IRR(E109:E136,0.1)</f>
        <v>0.056164816534819424</v>
      </c>
      <c r="G109" s="81">
        <f>NPV(Param!$B$38,E109:E136)</f>
        <v>3.747654462076179</v>
      </c>
    </row>
    <row r="110" spans="1:7" ht="12.75">
      <c r="A110" s="59">
        <v>2</v>
      </c>
      <c r="B110" s="62">
        <f>0.4*D32</f>
        <v>19.61330666666667</v>
      </c>
      <c r="C110" s="59">
        <v>0</v>
      </c>
      <c r="D110" s="59"/>
      <c r="E110" s="63">
        <f>+B110*-1</f>
        <v>-19.61330666666667</v>
      </c>
      <c r="F110" s="65"/>
      <c r="G110" s="65"/>
    </row>
    <row r="111" spans="1:7" ht="12.75">
      <c r="A111" s="59">
        <v>3</v>
      </c>
      <c r="B111" s="62">
        <f>0.6*D32</f>
        <v>29.41996</v>
      </c>
      <c r="C111" s="59">
        <v>0</v>
      </c>
      <c r="D111" s="59"/>
      <c r="E111" s="63">
        <f>+B111*-1</f>
        <v>-29.41996</v>
      </c>
      <c r="F111" s="66"/>
      <c r="G111" s="65"/>
    </row>
    <row r="112" spans="1:7" ht="12.75">
      <c r="A112" s="59">
        <v>4</v>
      </c>
      <c r="B112" s="59"/>
      <c r="C112" s="67">
        <f>$D$105*0.3</f>
        <v>1.4884809431851853</v>
      </c>
      <c r="D112" s="59"/>
      <c r="E112" s="63">
        <f>C112</f>
        <v>1.4884809431851853</v>
      </c>
      <c r="F112" s="65"/>
      <c r="G112" s="65"/>
    </row>
    <row r="113" spans="1:7" ht="12.75">
      <c r="A113" s="59">
        <v>5</v>
      </c>
      <c r="B113" s="59"/>
      <c r="C113" s="67">
        <f>$D$105*0.7</f>
        <v>3.4731222007654323</v>
      </c>
      <c r="D113" s="59"/>
      <c r="E113" s="63">
        <f aca="true" t="shared" si="4" ref="E113:E127">C113</f>
        <v>3.4731222007654323</v>
      </c>
      <c r="F113" s="66"/>
      <c r="G113" s="65"/>
    </row>
    <row r="114" spans="1:7" ht="12.75">
      <c r="A114" s="59">
        <v>6</v>
      </c>
      <c r="B114" s="59"/>
      <c r="C114" s="67">
        <f>$D$105</f>
        <v>4.961603143950618</v>
      </c>
      <c r="D114" s="59"/>
      <c r="E114" s="63">
        <f t="shared" si="4"/>
        <v>4.961603143950618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4.961603143950618</v>
      </c>
      <c r="D115" s="59"/>
      <c r="E115" s="63">
        <f t="shared" si="4"/>
        <v>4.961603143950618</v>
      </c>
      <c r="F115" s="66"/>
      <c r="G115" s="65"/>
    </row>
    <row r="116" spans="1:7" ht="12.75">
      <c r="A116" s="59">
        <v>8</v>
      </c>
      <c r="B116" s="59"/>
      <c r="C116" s="67">
        <f t="shared" si="5"/>
        <v>4.961603143950618</v>
      </c>
      <c r="D116" s="59"/>
      <c r="E116" s="63">
        <f t="shared" si="4"/>
        <v>4.961603143950618</v>
      </c>
      <c r="F116" s="66"/>
      <c r="G116" s="65"/>
    </row>
    <row r="117" spans="1:7" ht="12.75">
      <c r="A117" s="59">
        <v>9</v>
      </c>
      <c r="B117" s="59"/>
      <c r="C117" s="67">
        <f t="shared" si="5"/>
        <v>4.961603143950618</v>
      </c>
      <c r="D117" s="59"/>
      <c r="E117" s="63">
        <f t="shared" si="4"/>
        <v>4.961603143950618</v>
      </c>
      <c r="F117" s="66"/>
      <c r="G117" s="65"/>
    </row>
    <row r="118" spans="1:7" ht="12.75">
      <c r="A118" s="59">
        <v>10</v>
      </c>
      <c r="B118" s="59"/>
      <c r="C118" s="67">
        <f t="shared" si="5"/>
        <v>4.961603143950618</v>
      </c>
      <c r="D118" s="59"/>
      <c r="E118" s="63">
        <f t="shared" si="4"/>
        <v>4.961603143950618</v>
      </c>
      <c r="F118" s="66"/>
      <c r="G118" s="65"/>
    </row>
    <row r="119" spans="1:7" ht="12.75">
      <c r="A119" s="59">
        <v>11</v>
      </c>
      <c r="B119" s="59"/>
      <c r="C119" s="67">
        <f t="shared" si="5"/>
        <v>4.961603143950618</v>
      </c>
      <c r="D119" s="59"/>
      <c r="E119" s="63">
        <f t="shared" si="4"/>
        <v>4.961603143950618</v>
      </c>
      <c r="F119" s="66"/>
      <c r="G119" s="65"/>
    </row>
    <row r="120" spans="1:7" ht="12.75">
      <c r="A120" s="59">
        <v>12</v>
      </c>
      <c r="B120" s="59"/>
      <c r="C120" s="67">
        <f t="shared" si="5"/>
        <v>4.961603143950618</v>
      </c>
      <c r="D120" s="59"/>
      <c r="E120" s="63">
        <f t="shared" si="4"/>
        <v>4.961603143950618</v>
      </c>
      <c r="F120" s="66"/>
      <c r="G120" s="65"/>
    </row>
    <row r="121" spans="1:7" ht="12.75">
      <c r="A121" s="59">
        <v>13</v>
      </c>
      <c r="B121" s="59"/>
      <c r="C121" s="67">
        <f t="shared" si="5"/>
        <v>4.961603143950618</v>
      </c>
      <c r="D121" s="59"/>
      <c r="E121" s="63">
        <f t="shared" si="4"/>
        <v>4.961603143950618</v>
      </c>
      <c r="F121" s="66"/>
      <c r="G121" s="65"/>
    </row>
    <row r="122" spans="1:7" ht="12.75">
      <c r="A122" s="59">
        <v>14</v>
      </c>
      <c r="B122" s="59"/>
      <c r="C122" s="67">
        <f t="shared" si="5"/>
        <v>4.961603143950618</v>
      </c>
      <c r="D122" s="59"/>
      <c r="E122" s="63">
        <f t="shared" si="4"/>
        <v>4.961603143950618</v>
      </c>
      <c r="F122" s="66"/>
      <c r="G122" s="65"/>
    </row>
    <row r="123" spans="1:7" ht="12.75">
      <c r="A123" s="59">
        <v>15</v>
      </c>
      <c r="B123" s="59"/>
      <c r="C123" s="67">
        <f t="shared" si="5"/>
        <v>4.961603143950618</v>
      </c>
      <c r="D123" s="59"/>
      <c r="E123" s="63">
        <f t="shared" si="4"/>
        <v>4.961603143950618</v>
      </c>
      <c r="F123" s="66"/>
      <c r="G123" s="65"/>
    </row>
    <row r="124" spans="1:7" ht="12.75">
      <c r="A124" s="59">
        <v>16</v>
      </c>
      <c r="B124" s="59"/>
      <c r="C124" s="67">
        <f t="shared" si="5"/>
        <v>4.961603143950618</v>
      </c>
      <c r="D124" s="59"/>
      <c r="E124" s="63">
        <f t="shared" si="4"/>
        <v>4.961603143950618</v>
      </c>
      <c r="F124" s="66"/>
      <c r="G124" s="65"/>
    </row>
    <row r="125" spans="1:7" ht="12.75">
      <c r="A125" s="59">
        <v>17</v>
      </c>
      <c r="B125" s="59"/>
      <c r="C125" s="67">
        <f t="shared" si="5"/>
        <v>4.961603143950618</v>
      </c>
      <c r="D125" s="59"/>
      <c r="E125" s="63">
        <f t="shared" si="4"/>
        <v>4.961603143950618</v>
      </c>
      <c r="F125" s="66"/>
      <c r="G125" s="65"/>
    </row>
    <row r="126" spans="1:7" ht="12.75">
      <c r="A126" s="59">
        <v>18</v>
      </c>
      <c r="B126" s="59"/>
      <c r="C126" s="67">
        <f t="shared" si="5"/>
        <v>4.961603143950618</v>
      </c>
      <c r="D126" s="59"/>
      <c r="E126" s="63">
        <f t="shared" si="4"/>
        <v>4.961603143950618</v>
      </c>
      <c r="F126" s="66"/>
      <c r="G126" s="65"/>
    </row>
    <row r="127" spans="1:7" ht="12.75">
      <c r="A127" s="59">
        <v>19</v>
      </c>
      <c r="B127" s="59"/>
      <c r="C127" s="67">
        <f t="shared" si="5"/>
        <v>4.961603143950618</v>
      </c>
      <c r="D127" s="59"/>
      <c r="E127" s="63">
        <f t="shared" si="4"/>
        <v>4.961603143950618</v>
      </c>
      <c r="F127" s="66"/>
      <c r="G127" s="65"/>
    </row>
    <row r="128" spans="1:7" ht="12.75">
      <c r="A128" s="59">
        <v>20</v>
      </c>
      <c r="B128" s="59"/>
      <c r="C128" s="67">
        <f t="shared" si="5"/>
        <v>4.961603143950618</v>
      </c>
      <c r="D128" s="59"/>
      <c r="E128" s="63">
        <f aca="true" t="shared" si="6" ref="E128:E136">C128</f>
        <v>4.961603143950618</v>
      </c>
      <c r="F128" s="66"/>
      <c r="G128" s="65"/>
    </row>
    <row r="129" spans="1:7" ht="12.75">
      <c r="A129" s="59">
        <v>21</v>
      </c>
      <c r="B129" s="59"/>
      <c r="C129" s="67">
        <f t="shared" si="5"/>
        <v>4.961603143950618</v>
      </c>
      <c r="D129" s="59"/>
      <c r="E129" s="63">
        <f t="shared" si="6"/>
        <v>4.961603143950618</v>
      </c>
      <c r="F129" s="66"/>
      <c r="G129" s="65"/>
    </row>
    <row r="130" spans="1:7" ht="12.75">
      <c r="A130" s="59">
        <v>22</v>
      </c>
      <c r="B130" s="59"/>
      <c r="C130" s="67">
        <f t="shared" si="5"/>
        <v>4.961603143950618</v>
      </c>
      <c r="D130" s="59"/>
      <c r="E130" s="63">
        <f t="shared" si="6"/>
        <v>4.961603143950618</v>
      </c>
      <c r="F130" s="66"/>
      <c r="G130" s="65"/>
    </row>
    <row r="131" spans="1:7" ht="12.75">
      <c r="A131" s="59">
        <v>23</v>
      </c>
      <c r="B131" s="59"/>
      <c r="C131" s="67">
        <f t="shared" si="5"/>
        <v>4.961603143950618</v>
      </c>
      <c r="D131" s="59"/>
      <c r="E131" s="63">
        <f t="shared" si="6"/>
        <v>4.961603143950618</v>
      </c>
      <c r="F131" s="66"/>
      <c r="G131" s="65"/>
    </row>
    <row r="132" spans="1:7" ht="12.75">
      <c r="A132" s="59">
        <v>24</v>
      </c>
      <c r="B132" s="59"/>
      <c r="C132" s="67">
        <f t="shared" si="5"/>
        <v>4.961603143950618</v>
      </c>
      <c r="D132" s="59"/>
      <c r="E132" s="63">
        <f t="shared" si="6"/>
        <v>4.961603143950618</v>
      </c>
      <c r="F132" s="66"/>
      <c r="G132" s="65"/>
    </row>
    <row r="133" spans="1:7" ht="12.75">
      <c r="A133" s="59">
        <v>25</v>
      </c>
      <c r="B133" s="59"/>
      <c r="C133" s="67">
        <f t="shared" si="5"/>
        <v>4.961603143950618</v>
      </c>
      <c r="D133" s="59"/>
      <c r="E133" s="63">
        <f t="shared" si="6"/>
        <v>4.961603143950618</v>
      </c>
      <c r="F133" s="66"/>
      <c r="G133" s="65"/>
    </row>
    <row r="134" spans="1:7" ht="12.75">
      <c r="A134" s="59">
        <v>26</v>
      </c>
      <c r="B134" s="59"/>
      <c r="C134" s="67">
        <f t="shared" si="5"/>
        <v>4.961603143950618</v>
      </c>
      <c r="D134" s="59"/>
      <c r="E134" s="63">
        <f t="shared" si="6"/>
        <v>4.961603143950618</v>
      </c>
      <c r="F134" s="66"/>
      <c r="G134" s="65"/>
    </row>
    <row r="135" spans="1:7" ht="12.75">
      <c r="A135" s="59">
        <v>27</v>
      </c>
      <c r="B135" s="59"/>
      <c r="C135" s="67">
        <f t="shared" si="5"/>
        <v>4.961603143950618</v>
      </c>
      <c r="D135" s="59"/>
      <c r="E135" s="63">
        <f t="shared" si="6"/>
        <v>4.961603143950618</v>
      </c>
      <c r="F135" s="66"/>
      <c r="G135" s="65"/>
    </row>
    <row r="136" spans="1:7" ht="13.5" thickBot="1">
      <c r="A136" s="138">
        <v>28</v>
      </c>
      <c r="B136" s="138"/>
      <c r="C136" s="139">
        <f>$D$84</f>
        <v>4.961603143950618</v>
      </c>
      <c r="D136" s="138"/>
      <c r="E136" s="140">
        <f t="shared" si="6"/>
        <v>4.961603143950618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6.055783950617284</v>
      </c>
    </row>
    <row r="139" spans="1:4" ht="12.75">
      <c r="A139" s="53" t="s">
        <v>48</v>
      </c>
      <c r="B139" s="53"/>
      <c r="C139" s="53"/>
      <c r="D139" s="53">
        <f>$D$48</f>
        <v>1.0941808066666667</v>
      </c>
    </row>
    <row r="140" spans="1:4" ht="16.5" thickBot="1">
      <c r="A140" s="54" t="s">
        <v>196</v>
      </c>
      <c r="B140" s="55"/>
      <c r="C140" s="55"/>
      <c r="D140" s="55">
        <f>D138-D139</f>
        <v>4.961603143950618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9.903326666666668</v>
      </c>
      <c r="C144" s="59">
        <v>0</v>
      </c>
      <c r="D144" s="59"/>
      <c r="E144" s="63">
        <f>+B144*-1</f>
        <v>-9.903326666666668</v>
      </c>
      <c r="F144" s="64">
        <f>IRR(E144:E221,0.1)</f>
        <v>0.07432862066277883</v>
      </c>
      <c r="G144" s="81">
        <f>NPV(Param!$B$38,E144:E221)</f>
        <v>26.853693564762246</v>
      </c>
    </row>
    <row r="145" spans="1:7" ht="12.75">
      <c r="A145" s="59">
        <v>2</v>
      </c>
      <c r="B145" s="62">
        <f>0.4*D32</f>
        <v>19.61330666666667</v>
      </c>
      <c r="C145" s="59">
        <v>0</v>
      </c>
      <c r="D145" s="59"/>
      <c r="E145" s="63">
        <f>+B145*-1</f>
        <v>-19.61330666666667</v>
      </c>
      <c r="F145" s="65"/>
      <c r="G145" s="65"/>
    </row>
    <row r="146" spans="1:7" ht="12.75">
      <c r="A146" s="59">
        <v>3</v>
      </c>
      <c r="B146" s="62">
        <f>0.6*D32</f>
        <v>29.41996</v>
      </c>
      <c r="C146" s="59">
        <v>0</v>
      </c>
      <c r="D146" s="59"/>
      <c r="E146" s="63">
        <f>+B146*-1</f>
        <v>-29.41996</v>
      </c>
      <c r="F146" s="66"/>
      <c r="G146" s="65"/>
    </row>
    <row r="147" spans="1:7" ht="12.75">
      <c r="A147" s="59">
        <v>4</v>
      </c>
      <c r="B147" s="59"/>
      <c r="C147" s="67">
        <f>$D$140*0.3</f>
        <v>1.4884809431851853</v>
      </c>
      <c r="D147" s="59"/>
      <c r="E147" s="63">
        <f>C147</f>
        <v>1.4884809431851853</v>
      </c>
      <c r="F147" s="65"/>
      <c r="G147" s="65"/>
    </row>
    <row r="148" spans="1:7" ht="12.75">
      <c r="A148" s="59">
        <v>5</v>
      </c>
      <c r="B148" s="59"/>
      <c r="C148" s="67">
        <f>$D$140*0.7</f>
        <v>3.4731222007654323</v>
      </c>
      <c r="D148" s="59"/>
      <c r="E148" s="63">
        <f aca="true" t="shared" si="7" ref="E148:E211">C148</f>
        <v>3.4731222007654323</v>
      </c>
      <c r="F148" s="66"/>
      <c r="G148" s="65"/>
    </row>
    <row r="149" spans="1:7" ht="12.75">
      <c r="A149" s="59">
        <v>6</v>
      </c>
      <c r="B149" s="59"/>
      <c r="C149" s="67">
        <f>$D$140</f>
        <v>4.961603143950618</v>
      </c>
      <c r="D149" s="59"/>
      <c r="E149" s="63">
        <f t="shared" si="7"/>
        <v>4.961603143950618</v>
      </c>
      <c r="F149" s="66"/>
      <c r="G149" s="65"/>
    </row>
    <row r="150" spans="1:7" ht="12.75">
      <c r="A150" s="59">
        <v>7</v>
      </c>
      <c r="B150" s="59"/>
      <c r="C150" s="67">
        <f aca="true" t="shared" si="8" ref="C150:C213">$D$140</f>
        <v>4.961603143950618</v>
      </c>
      <c r="D150" s="59"/>
      <c r="E150" s="63">
        <f t="shared" si="7"/>
        <v>4.961603143950618</v>
      </c>
      <c r="F150" s="66"/>
      <c r="G150" s="65"/>
    </row>
    <row r="151" spans="1:7" ht="12.75">
      <c r="A151" s="59">
        <v>8</v>
      </c>
      <c r="B151" s="59"/>
      <c r="C151" s="67">
        <f t="shared" si="8"/>
        <v>4.961603143950618</v>
      </c>
      <c r="D151" s="59"/>
      <c r="E151" s="63">
        <f t="shared" si="7"/>
        <v>4.961603143950618</v>
      </c>
      <c r="F151" s="66"/>
      <c r="G151" s="65"/>
    </row>
    <row r="152" spans="1:7" ht="12.75">
      <c r="A152" s="59">
        <v>9</v>
      </c>
      <c r="B152" s="59"/>
      <c r="C152" s="67">
        <f t="shared" si="8"/>
        <v>4.961603143950618</v>
      </c>
      <c r="D152" s="59"/>
      <c r="E152" s="63">
        <f t="shared" si="7"/>
        <v>4.961603143950618</v>
      </c>
      <c r="F152" s="66"/>
      <c r="G152" s="65"/>
    </row>
    <row r="153" spans="1:7" ht="12.75">
      <c r="A153" s="59">
        <v>10</v>
      </c>
      <c r="B153" s="59"/>
      <c r="C153" s="67">
        <f t="shared" si="8"/>
        <v>4.961603143950618</v>
      </c>
      <c r="D153" s="59"/>
      <c r="E153" s="63">
        <f t="shared" si="7"/>
        <v>4.961603143950618</v>
      </c>
      <c r="F153" s="66"/>
      <c r="G153" s="65"/>
    </row>
    <row r="154" spans="1:7" ht="12.75">
      <c r="A154" s="59">
        <v>11</v>
      </c>
      <c r="C154" s="67">
        <f t="shared" si="8"/>
        <v>4.961603143950618</v>
      </c>
      <c r="E154" s="63">
        <f t="shared" si="7"/>
        <v>4.961603143950618</v>
      </c>
      <c r="F154" s="66"/>
      <c r="G154" s="65"/>
    </row>
    <row r="155" spans="1:7" ht="12.75">
      <c r="A155" s="59">
        <v>12</v>
      </c>
      <c r="C155" s="67">
        <f t="shared" si="8"/>
        <v>4.961603143950618</v>
      </c>
      <c r="E155" s="63">
        <f t="shared" si="7"/>
        <v>4.961603143950618</v>
      </c>
      <c r="F155" s="66"/>
      <c r="G155" s="65"/>
    </row>
    <row r="156" spans="1:7" ht="12.75">
      <c r="A156" s="59">
        <v>13</v>
      </c>
      <c r="C156" s="67">
        <f t="shared" si="8"/>
        <v>4.961603143950618</v>
      </c>
      <c r="E156" s="63">
        <f t="shared" si="7"/>
        <v>4.961603143950618</v>
      </c>
      <c r="F156" s="66"/>
      <c r="G156" s="65"/>
    </row>
    <row r="157" spans="1:7" ht="12.75">
      <c r="A157" s="59">
        <v>14</v>
      </c>
      <c r="C157" s="67">
        <f t="shared" si="8"/>
        <v>4.961603143950618</v>
      </c>
      <c r="E157" s="63">
        <f t="shared" si="7"/>
        <v>4.961603143950618</v>
      </c>
      <c r="F157" s="66"/>
      <c r="G157" s="65"/>
    </row>
    <row r="158" spans="1:7" ht="12.75">
      <c r="A158" s="59">
        <v>15</v>
      </c>
      <c r="C158" s="67">
        <f t="shared" si="8"/>
        <v>4.961603143950618</v>
      </c>
      <c r="E158" s="63">
        <f t="shared" si="7"/>
        <v>4.961603143950618</v>
      </c>
      <c r="F158" s="66"/>
      <c r="G158" s="65"/>
    </row>
    <row r="159" spans="1:7" ht="12.75">
      <c r="A159" s="59">
        <v>16</v>
      </c>
      <c r="C159" s="67">
        <f t="shared" si="8"/>
        <v>4.961603143950618</v>
      </c>
      <c r="E159" s="63">
        <f t="shared" si="7"/>
        <v>4.961603143950618</v>
      </c>
      <c r="F159" s="66"/>
      <c r="G159" s="65"/>
    </row>
    <row r="160" spans="1:7" ht="12.75">
      <c r="A160" s="59">
        <v>17</v>
      </c>
      <c r="C160" s="67">
        <f t="shared" si="8"/>
        <v>4.961603143950618</v>
      </c>
      <c r="E160" s="63">
        <f t="shared" si="7"/>
        <v>4.961603143950618</v>
      </c>
      <c r="F160" s="66"/>
      <c r="G160" s="65"/>
    </row>
    <row r="161" spans="1:7" ht="12.75">
      <c r="A161" s="59">
        <v>18</v>
      </c>
      <c r="C161" s="67">
        <f t="shared" si="8"/>
        <v>4.961603143950618</v>
      </c>
      <c r="E161" s="63">
        <f t="shared" si="7"/>
        <v>4.961603143950618</v>
      </c>
      <c r="F161" s="66"/>
      <c r="G161" s="65"/>
    </row>
    <row r="162" spans="1:7" ht="12.75">
      <c r="A162" s="59">
        <v>19</v>
      </c>
      <c r="C162" s="67">
        <f t="shared" si="8"/>
        <v>4.961603143950618</v>
      </c>
      <c r="E162" s="63">
        <f t="shared" si="7"/>
        <v>4.961603143950618</v>
      </c>
      <c r="F162" s="66"/>
      <c r="G162" s="65"/>
    </row>
    <row r="163" spans="1:7" ht="12.75">
      <c r="A163" s="59">
        <v>20</v>
      </c>
      <c r="C163" s="67">
        <f t="shared" si="8"/>
        <v>4.961603143950618</v>
      </c>
      <c r="E163" s="63">
        <f t="shared" si="7"/>
        <v>4.961603143950618</v>
      </c>
      <c r="F163" s="66"/>
      <c r="G163" s="65"/>
    </row>
    <row r="164" spans="1:7" ht="12.75">
      <c r="A164" s="59">
        <v>21</v>
      </c>
      <c r="C164" s="67">
        <f t="shared" si="8"/>
        <v>4.961603143950618</v>
      </c>
      <c r="E164" s="63">
        <f t="shared" si="7"/>
        <v>4.961603143950618</v>
      </c>
      <c r="F164" s="66"/>
      <c r="G164" s="65"/>
    </row>
    <row r="165" spans="1:7" ht="12.75">
      <c r="A165" s="59">
        <v>22</v>
      </c>
      <c r="C165" s="67">
        <f t="shared" si="8"/>
        <v>4.961603143950618</v>
      </c>
      <c r="E165" s="63">
        <f t="shared" si="7"/>
        <v>4.961603143950618</v>
      </c>
      <c r="F165" s="66"/>
      <c r="G165" s="65"/>
    </row>
    <row r="166" spans="1:7" ht="12.75">
      <c r="A166" s="59">
        <v>23</v>
      </c>
      <c r="C166" s="67">
        <f t="shared" si="8"/>
        <v>4.961603143950618</v>
      </c>
      <c r="E166" s="63">
        <f t="shared" si="7"/>
        <v>4.961603143950618</v>
      </c>
      <c r="F166" s="66"/>
      <c r="G166" s="65"/>
    </row>
    <row r="167" spans="1:7" ht="12.75">
      <c r="A167" s="59">
        <v>24</v>
      </c>
      <c r="C167" s="67">
        <f t="shared" si="8"/>
        <v>4.961603143950618</v>
      </c>
      <c r="E167" s="63">
        <f t="shared" si="7"/>
        <v>4.961603143950618</v>
      </c>
      <c r="F167" s="66"/>
      <c r="G167" s="65"/>
    </row>
    <row r="168" spans="1:7" ht="12.75">
      <c r="A168" s="59">
        <v>25</v>
      </c>
      <c r="C168" s="67">
        <f t="shared" si="8"/>
        <v>4.961603143950618</v>
      </c>
      <c r="E168" s="63">
        <f t="shared" si="7"/>
        <v>4.961603143950618</v>
      </c>
      <c r="F168" s="66"/>
      <c r="G168" s="65"/>
    </row>
    <row r="169" spans="1:7" ht="12.75">
      <c r="A169" s="59">
        <v>26</v>
      </c>
      <c r="C169" s="67">
        <f t="shared" si="8"/>
        <v>4.961603143950618</v>
      </c>
      <c r="E169" s="63">
        <f t="shared" si="7"/>
        <v>4.961603143950618</v>
      </c>
      <c r="F169" s="66"/>
      <c r="G169" s="65"/>
    </row>
    <row r="170" spans="1:7" ht="12.75">
      <c r="A170" s="59">
        <v>27</v>
      </c>
      <c r="C170" s="67">
        <f t="shared" si="8"/>
        <v>4.961603143950618</v>
      </c>
      <c r="E170" s="63">
        <f t="shared" si="7"/>
        <v>4.961603143950618</v>
      </c>
      <c r="F170" s="66"/>
      <c r="G170" s="65"/>
    </row>
    <row r="171" spans="1:7" ht="12.75">
      <c r="A171" s="59">
        <v>28</v>
      </c>
      <c r="C171" s="67">
        <f t="shared" si="8"/>
        <v>4.961603143950618</v>
      </c>
      <c r="E171" s="63">
        <f t="shared" si="7"/>
        <v>4.961603143950618</v>
      </c>
      <c r="F171" s="66"/>
      <c r="G171" s="65"/>
    </row>
    <row r="172" spans="1:7" ht="12.75">
      <c r="A172" s="59">
        <v>29</v>
      </c>
      <c r="C172" s="67">
        <f t="shared" si="8"/>
        <v>4.961603143950618</v>
      </c>
      <c r="E172" s="63">
        <f t="shared" si="7"/>
        <v>4.961603143950618</v>
      </c>
      <c r="F172" s="66"/>
      <c r="G172" s="65"/>
    </row>
    <row r="173" spans="1:7" ht="12.75">
      <c r="A173" s="59">
        <v>30</v>
      </c>
      <c r="C173" s="67">
        <f t="shared" si="8"/>
        <v>4.961603143950618</v>
      </c>
      <c r="E173" s="63">
        <f t="shared" si="7"/>
        <v>4.961603143950618</v>
      </c>
      <c r="F173" s="66"/>
      <c r="G173" s="65"/>
    </row>
    <row r="174" spans="1:7" ht="12.75">
      <c r="A174" s="59">
        <v>31</v>
      </c>
      <c r="C174" s="67">
        <f t="shared" si="8"/>
        <v>4.961603143950618</v>
      </c>
      <c r="E174" s="63">
        <f t="shared" si="7"/>
        <v>4.961603143950618</v>
      </c>
      <c r="F174" s="66"/>
      <c r="G174" s="65"/>
    </row>
    <row r="175" spans="1:7" ht="12.75">
      <c r="A175" s="59">
        <v>32</v>
      </c>
      <c r="C175" s="67">
        <f t="shared" si="8"/>
        <v>4.961603143950618</v>
      </c>
      <c r="E175" s="63">
        <f t="shared" si="7"/>
        <v>4.961603143950618</v>
      </c>
      <c r="F175" s="66"/>
      <c r="G175" s="65"/>
    </row>
    <row r="176" spans="1:7" ht="12.75">
      <c r="A176" s="59">
        <v>33</v>
      </c>
      <c r="C176" s="67">
        <f t="shared" si="8"/>
        <v>4.961603143950618</v>
      </c>
      <c r="E176" s="63">
        <f t="shared" si="7"/>
        <v>4.961603143950618</v>
      </c>
      <c r="F176" s="66"/>
      <c r="G176" s="65"/>
    </row>
    <row r="177" spans="1:7" ht="12.75">
      <c r="A177" s="59">
        <v>34</v>
      </c>
      <c r="C177" s="67">
        <f t="shared" si="8"/>
        <v>4.961603143950618</v>
      </c>
      <c r="E177" s="63">
        <f t="shared" si="7"/>
        <v>4.961603143950618</v>
      </c>
      <c r="F177" s="66"/>
      <c r="G177" s="65"/>
    </row>
    <row r="178" spans="1:7" ht="12.75">
      <c r="A178" s="59">
        <v>35</v>
      </c>
      <c r="C178" s="67">
        <f t="shared" si="8"/>
        <v>4.961603143950618</v>
      </c>
      <c r="E178" s="63">
        <f t="shared" si="7"/>
        <v>4.961603143950618</v>
      </c>
      <c r="F178" s="66"/>
      <c r="G178" s="65"/>
    </row>
    <row r="179" spans="1:7" ht="12.75">
      <c r="A179" s="59">
        <v>36</v>
      </c>
      <c r="C179" s="67">
        <f t="shared" si="8"/>
        <v>4.961603143950618</v>
      </c>
      <c r="E179" s="63">
        <f t="shared" si="7"/>
        <v>4.961603143950618</v>
      </c>
      <c r="F179" s="66"/>
      <c r="G179" s="65"/>
    </row>
    <row r="180" spans="1:7" ht="12.75">
      <c r="A180" s="59">
        <v>37</v>
      </c>
      <c r="C180" s="67">
        <f t="shared" si="8"/>
        <v>4.961603143950618</v>
      </c>
      <c r="E180" s="63">
        <f t="shared" si="7"/>
        <v>4.961603143950618</v>
      </c>
      <c r="F180" s="66"/>
      <c r="G180" s="65"/>
    </row>
    <row r="181" spans="1:7" ht="12.75">
      <c r="A181" s="59">
        <v>38</v>
      </c>
      <c r="C181" s="67">
        <f t="shared" si="8"/>
        <v>4.961603143950618</v>
      </c>
      <c r="E181" s="63">
        <f t="shared" si="7"/>
        <v>4.961603143950618</v>
      </c>
      <c r="F181" s="66"/>
      <c r="G181" s="65"/>
    </row>
    <row r="182" spans="1:7" ht="12.75">
      <c r="A182" s="59">
        <v>39</v>
      </c>
      <c r="C182" s="67">
        <f t="shared" si="8"/>
        <v>4.961603143950618</v>
      </c>
      <c r="E182" s="63">
        <f t="shared" si="7"/>
        <v>4.961603143950618</v>
      </c>
      <c r="F182" s="66"/>
      <c r="G182" s="65"/>
    </row>
    <row r="183" spans="1:7" ht="12.75">
      <c r="A183" s="59">
        <v>40</v>
      </c>
      <c r="C183" s="67">
        <f t="shared" si="8"/>
        <v>4.961603143950618</v>
      </c>
      <c r="E183" s="63">
        <f t="shared" si="7"/>
        <v>4.961603143950618</v>
      </c>
      <c r="F183" s="66"/>
      <c r="G183" s="65"/>
    </row>
    <row r="184" spans="1:7" ht="12.75">
      <c r="A184" s="59">
        <v>41</v>
      </c>
      <c r="C184" s="67">
        <f t="shared" si="8"/>
        <v>4.961603143950618</v>
      </c>
      <c r="E184" s="63">
        <f t="shared" si="7"/>
        <v>4.961603143950618</v>
      </c>
      <c r="F184" s="66"/>
      <c r="G184" s="65"/>
    </row>
    <row r="185" spans="1:7" ht="12.75">
      <c r="A185" s="59">
        <v>42</v>
      </c>
      <c r="C185" s="67">
        <f t="shared" si="8"/>
        <v>4.961603143950618</v>
      </c>
      <c r="E185" s="63">
        <f t="shared" si="7"/>
        <v>4.961603143950618</v>
      </c>
      <c r="F185" s="66"/>
      <c r="G185" s="65"/>
    </row>
    <row r="186" spans="1:7" ht="12.75">
      <c r="A186" s="59">
        <v>43</v>
      </c>
      <c r="C186" s="67">
        <f t="shared" si="8"/>
        <v>4.961603143950618</v>
      </c>
      <c r="E186" s="63">
        <f t="shared" si="7"/>
        <v>4.961603143950618</v>
      </c>
      <c r="F186" s="66"/>
      <c r="G186" s="65"/>
    </row>
    <row r="187" spans="1:7" ht="12.75">
      <c r="A187" s="59">
        <v>44</v>
      </c>
      <c r="C187" s="67">
        <f t="shared" si="8"/>
        <v>4.961603143950618</v>
      </c>
      <c r="E187" s="63">
        <f t="shared" si="7"/>
        <v>4.961603143950618</v>
      </c>
      <c r="F187" s="66"/>
      <c r="G187" s="65"/>
    </row>
    <row r="188" spans="1:7" ht="12.75">
      <c r="A188" s="59">
        <v>45</v>
      </c>
      <c r="C188" s="67">
        <f t="shared" si="8"/>
        <v>4.961603143950618</v>
      </c>
      <c r="E188" s="63">
        <f t="shared" si="7"/>
        <v>4.961603143950618</v>
      </c>
      <c r="F188" s="66"/>
      <c r="G188" s="65"/>
    </row>
    <row r="189" spans="1:7" ht="12.75">
      <c r="A189" s="59">
        <v>46</v>
      </c>
      <c r="C189" s="67">
        <f t="shared" si="8"/>
        <v>4.961603143950618</v>
      </c>
      <c r="E189" s="63">
        <f t="shared" si="7"/>
        <v>4.961603143950618</v>
      </c>
      <c r="F189" s="66"/>
      <c r="G189" s="65"/>
    </row>
    <row r="190" spans="1:7" ht="12.75">
      <c r="A190" s="59">
        <v>47</v>
      </c>
      <c r="C190" s="67">
        <f t="shared" si="8"/>
        <v>4.961603143950618</v>
      </c>
      <c r="E190" s="63">
        <f t="shared" si="7"/>
        <v>4.961603143950618</v>
      </c>
      <c r="F190" s="66"/>
      <c r="G190" s="65"/>
    </row>
    <row r="191" spans="1:7" ht="12.75">
      <c r="A191" s="59">
        <v>48</v>
      </c>
      <c r="C191" s="67">
        <f t="shared" si="8"/>
        <v>4.961603143950618</v>
      </c>
      <c r="E191" s="63">
        <f t="shared" si="7"/>
        <v>4.961603143950618</v>
      </c>
      <c r="F191" s="66"/>
      <c r="G191" s="65"/>
    </row>
    <row r="192" spans="1:7" ht="12.75">
      <c r="A192" s="59">
        <v>49</v>
      </c>
      <c r="C192" s="67">
        <f t="shared" si="8"/>
        <v>4.961603143950618</v>
      </c>
      <c r="E192" s="63">
        <f t="shared" si="7"/>
        <v>4.961603143950618</v>
      </c>
      <c r="F192" s="66"/>
      <c r="G192" s="65"/>
    </row>
    <row r="193" spans="1:7" ht="12.75">
      <c r="A193" s="59">
        <v>50</v>
      </c>
      <c r="C193" s="67">
        <f t="shared" si="8"/>
        <v>4.961603143950618</v>
      </c>
      <c r="E193" s="63">
        <f t="shared" si="7"/>
        <v>4.961603143950618</v>
      </c>
      <c r="F193" s="66"/>
      <c r="G193" s="65"/>
    </row>
    <row r="194" spans="1:7" ht="12.75">
      <c r="A194" s="59">
        <v>51</v>
      </c>
      <c r="C194" s="67">
        <f t="shared" si="8"/>
        <v>4.961603143950618</v>
      </c>
      <c r="E194" s="63">
        <f t="shared" si="7"/>
        <v>4.961603143950618</v>
      </c>
      <c r="F194" s="66"/>
      <c r="G194" s="65"/>
    </row>
    <row r="195" spans="1:7" ht="12.75">
      <c r="A195" s="59">
        <v>52</v>
      </c>
      <c r="C195" s="67">
        <f t="shared" si="8"/>
        <v>4.961603143950618</v>
      </c>
      <c r="E195" s="63">
        <f t="shared" si="7"/>
        <v>4.961603143950618</v>
      </c>
      <c r="F195" s="66"/>
      <c r="G195" s="65"/>
    </row>
    <row r="196" spans="1:7" ht="12.75">
      <c r="A196" s="59">
        <v>53</v>
      </c>
      <c r="C196" s="67">
        <f t="shared" si="8"/>
        <v>4.961603143950618</v>
      </c>
      <c r="E196" s="63">
        <f t="shared" si="7"/>
        <v>4.961603143950618</v>
      </c>
      <c r="F196" s="66"/>
      <c r="G196" s="65"/>
    </row>
    <row r="197" spans="1:7" ht="12.75">
      <c r="A197" s="59">
        <v>54</v>
      </c>
      <c r="C197" s="67">
        <f t="shared" si="8"/>
        <v>4.961603143950618</v>
      </c>
      <c r="E197" s="63">
        <f t="shared" si="7"/>
        <v>4.961603143950618</v>
      </c>
      <c r="F197" s="66"/>
      <c r="G197" s="65"/>
    </row>
    <row r="198" spans="1:7" ht="12.75">
      <c r="A198" s="59">
        <v>55</v>
      </c>
      <c r="C198" s="67">
        <f t="shared" si="8"/>
        <v>4.961603143950618</v>
      </c>
      <c r="E198" s="63">
        <f t="shared" si="7"/>
        <v>4.961603143950618</v>
      </c>
      <c r="F198" s="66"/>
      <c r="G198" s="65"/>
    </row>
    <row r="199" spans="1:7" ht="12.75">
      <c r="A199" s="59">
        <v>56</v>
      </c>
      <c r="C199" s="67">
        <f t="shared" si="8"/>
        <v>4.961603143950618</v>
      </c>
      <c r="E199" s="63">
        <f t="shared" si="7"/>
        <v>4.961603143950618</v>
      </c>
      <c r="F199" s="66"/>
      <c r="G199" s="65"/>
    </row>
    <row r="200" spans="1:7" ht="12.75">
      <c r="A200" s="59">
        <v>57</v>
      </c>
      <c r="C200" s="67">
        <f t="shared" si="8"/>
        <v>4.961603143950618</v>
      </c>
      <c r="E200" s="63">
        <f t="shared" si="7"/>
        <v>4.961603143950618</v>
      </c>
      <c r="F200" s="66"/>
      <c r="G200" s="65"/>
    </row>
    <row r="201" spans="1:7" ht="12.75">
      <c r="A201" s="59">
        <v>58</v>
      </c>
      <c r="C201" s="67">
        <f t="shared" si="8"/>
        <v>4.961603143950618</v>
      </c>
      <c r="E201" s="63">
        <f t="shared" si="7"/>
        <v>4.961603143950618</v>
      </c>
      <c r="F201" s="66"/>
      <c r="G201" s="65"/>
    </row>
    <row r="202" spans="1:7" ht="12.75">
      <c r="A202" s="59">
        <v>59</v>
      </c>
      <c r="C202" s="67">
        <f t="shared" si="8"/>
        <v>4.961603143950618</v>
      </c>
      <c r="E202" s="63">
        <f t="shared" si="7"/>
        <v>4.961603143950618</v>
      </c>
      <c r="F202" s="66"/>
      <c r="G202" s="65"/>
    </row>
    <row r="203" spans="1:7" ht="12.75">
      <c r="A203" s="59">
        <v>60</v>
      </c>
      <c r="C203" s="67">
        <f t="shared" si="8"/>
        <v>4.961603143950618</v>
      </c>
      <c r="E203" s="63">
        <f t="shared" si="7"/>
        <v>4.961603143950618</v>
      </c>
      <c r="F203" s="66"/>
      <c r="G203" s="65"/>
    </row>
    <row r="204" spans="1:7" ht="12.75">
      <c r="A204" s="59">
        <v>61</v>
      </c>
      <c r="C204" s="67">
        <f t="shared" si="8"/>
        <v>4.961603143950618</v>
      </c>
      <c r="E204" s="63">
        <f t="shared" si="7"/>
        <v>4.961603143950618</v>
      </c>
      <c r="F204" s="66"/>
      <c r="G204" s="65"/>
    </row>
    <row r="205" spans="1:7" ht="12.75">
      <c r="A205" s="59">
        <v>62</v>
      </c>
      <c r="C205" s="67">
        <f t="shared" si="8"/>
        <v>4.961603143950618</v>
      </c>
      <c r="E205" s="63">
        <f t="shared" si="7"/>
        <v>4.961603143950618</v>
      </c>
      <c r="F205" s="66"/>
      <c r="G205" s="65"/>
    </row>
    <row r="206" spans="1:7" ht="12.75">
      <c r="A206" s="59">
        <v>63</v>
      </c>
      <c r="C206" s="67">
        <f t="shared" si="8"/>
        <v>4.961603143950618</v>
      </c>
      <c r="E206" s="63">
        <f t="shared" si="7"/>
        <v>4.961603143950618</v>
      </c>
      <c r="F206" s="66"/>
      <c r="G206" s="65"/>
    </row>
    <row r="207" spans="1:7" ht="12.75">
      <c r="A207" s="59">
        <v>64</v>
      </c>
      <c r="C207" s="67">
        <f t="shared" si="8"/>
        <v>4.961603143950618</v>
      </c>
      <c r="E207" s="63">
        <f t="shared" si="7"/>
        <v>4.961603143950618</v>
      </c>
      <c r="F207" s="66"/>
      <c r="G207" s="65"/>
    </row>
    <row r="208" spans="1:7" ht="12.75">
      <c r="A208" s="59">
        <v>65</v>
      </c>
      <c r="C208" s="67">
        <f t="shared" si="8"/>
        <v>4.961603143950618</v>
      </c>
      <c r="E208" s="63">
        <f t="shared" si="7"/>
        <v>4.961603143950618</v>
      </c>
      <c r="F208" s="66"/>
      <c r="G208" s="65"/>
    </row>
    <row r="209" spans="1:7" ht="12.75">
      <c r="A209" s="59">
        <v>66</v>
      </c>
      <c r="C209" s="67">
        <f t="shared" si="8"/>
        <v>4.961603143950618</v>
      </c>
      <c r="E209" s="63">
        <f t="shared" si="7"/>
        <v>4.961603143950618</v>
      </c>
      <c r="F209" s="66"/>
      <c r="G209" s="65"/>
    </row>
    <row r="210" spans="1:7" ht="12.75">
      <c r="A210" s="59">
        <v>67</v>
      </c>
      <c r="C210" s="67">
        <f t="shared" si="8"/>
        <v>4.961603143950618</v>
      </c>
      <c r="E210" s="63">
        <f t="shared" si="7"/>
        <v>4.961603143950618</v>
      </c>
      <c r="F210" s="66"/>
      <c r="G210" s="65"/>
    </row>
    <row r="211" spans="1:7" ht="12.75">
      <c r="A211" s="59">
        <v>68</v>
      </c>
      <c r="C211" s="67">
        <f t="shared" si="8"/>
        <v>4.961603143950618</v>
      </c>
      <c r="E211" s="63">
        <f t="shared" si="7"/>
        <v>4.961603143950618</v>
      </c>
      <c r="F211" s="66"/>
      <c r="G211" s="65"/>
    </row>
    <row r="212" spans="1:7" ht="12.75">
      <c r="A212" s="59">
        <v>69</v>
      </c>
      <c r="C212" s="67">
        <f t="shared" si="8"/>
        <v>4.961603143950618</v>
      </c>
      <c r="E212" s="63">
        <f aca="true" t="shared" si="9" ref="E212:E221">C212</f>
        <v>4.961603143950618</v>
      </c>
      <c r="F212" s="66"/>
      <c r="G212" s="65"/>
    </row>
    <row r="213" spans="1:7" ht="12.75">
      <c r="A213" s="59">
        <v>70</v>
      </c>
      <c r="C213" s="67">
        <f t="shared" si="8"/>
        <v>4.961603143950618</v>
      </c>
      <c r="E213" s="63">
        <f t="shared" si="9"/>
        <v>4.961603143950618</v>
      </c>
      <c r="F213" s="66"/>
      <c r="G213" s="65"/>
    </row>
    <row r="214" spans="1:7" ht="12.75">
      <c r="A214" s="59">
        <v>71</v>
      </c>
      <c r="C214" s="67">
        <f aca="true" t="shared" si="10" ref="C214:C221">$D$140</f>
        <v>4.961603143950618</v>
      </c>
      <c r="E214" s="63">
        <f t="shared" si="9"/>
        <v>4.961603143950618</v>
      </c>
      <c r="F214" s="66"/>
      <c r="G214" s="65"/>
    </row>
    <row r="215" spans="1:7" ht="12.75">
      <c r="A215" s="59">
        <v>72</v>
      </c>
      <c r="C215" s="67">
        <f t="shared" si="10"/>
        <v>4.961603143950618</v>
      </c>
      <c r="E215" s="63">
        <f t="shared" si="9"/>
        <v>4.961603143950618</v>
      </c>
      <c r="F215" s="66"/>
      <c r="G215" s="65"/>
    </row>
    <row r="216" spans="1:7" ht="12.75">
      <c r="A216" s="59">
        <v>73</v>
      </c>
      <c r="C216" s="67">
        <f t="shared" si="10"/>
        <v>4.961603143950618</v>
      </c>
      <c r="E216" s="63">
        <f t="shared" si="9"/>
        <v>4.961603143950618</v>
      </c>
      <c r="F216" s="66"/>
      <c r="G216" s="65"/>
    </row>
    <row r="217" spans="1:7" ht="12.75">
      <c r="A217" s="59">
        <v>74</v>
      </c>
      <c r="C217" s="67">
        <f t="shared" si="10"/>
        <v>4.961603143950618</v>
      </c>
      <c r="E217" s="63">
        <f t="shared" si="9"/>
        <v>4.961603143950618</v>
      </c>
      <c r="F217" s="66"/>
      <c r="G217" s="65"/>
    </row>
    <row r="218" spans="1:7" ht="12.75">
      <c r="A218" s="59">
        <v>75</v>
      </c>
      <c r="C218" s="67">
        <f t="shared" si="10"/>
        <v>4.961603143950618</v>
      </c>
      <c r="E218" s="63">
        <f t="shared" si="9"/>
        <v>4.961603143950618</v>
      </c>
      <c r="F218" s="66"/>
      <c r="G218" s="65"/>
    </row>
    <row r="219" spans="1:7" ht="12.75">
      <c r="A219" s="59">
        <v>76</v>
      </c>
      <c r="C219" s="67">
        <f t="shared" si="10"/>
        <v>4.961603143950618</v>
      </c>
      <c r="E219" s="63">
        <f t="shared" si="9"/>
        <v>4.961603143950618</v>
      </c>
      <c r="F219" s="66"/>
      <c r="G219" s="65"/>
    </row>
    <row r="220" spans="1:7" ht="12.75">
      <c r="A220" s="59">
        <v>77</v>
      </c>
      <c r="C220" s="67">
        <f t="shared" si="10"/>
        <v>4.961603143950618</v>
      </c>
      <c r="E220" s="63">
        <f t="shared" si="9"/>
        <v>4.961603143950618</v>
      </c>
      <c r="F220" s="66"/>
      <c r="G220" s="65"/>
    </row>
    <row r="221" spans="1:7" ht="13.5" thickBot="1">
      <c r="A221" s="138">
        <v>78</v>
      </c>
      <c r="B221" s="142"/>
      <c r="C221" s="139">
        <f t="shared" si="10"/>
        <v>4.961603143950618</v>
      </c>
      <c r="D221" s="142"/>
      <c r="E221" s="140">
        <f t="shared" si="9"/>
        <v>4.961603143950618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21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19.6</v>
      </c>
      <c r="C4" s="2">
        <f>Param!C41</f>
        <v>1.1</v>
      </c>
      <c r="D4" s="2">
        <f aca="true" t="shared" si="0" ref="D4:D9">B4*C4</f>
        <v>21.560000000000002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43.76</v>
      </c>
      <c r="C5" s="2">
        <f>Param!C44</f>
        <v>0.01</v>
      </c>
      <c r="D5" s="2">
        <f t="shared" si="0"/>
        <v>0.4376</v>
      </c>
      <c r="F5" s="42" t="s">
        <v>113</v>
      </c>
      <c r="G5" s="106">
        <f>Param!$B$9</f>
        <v>16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F6" s="74" t="s">
        <v>105</v>
      </c>
      <c r="G6" s="29">
        <f>Param!B12</f>
        <v>19.6</v>
      </c>
    </row>
    <row r="7" spans="1:8" ht="12.75">
      <c r="A7" s="2" t="s">
        <v>184</v>
      </c>
      <c r="B7" s="14">
        <f>G6</f>
        <v>19.6</v>
      </c>
      <c r="C7" s="2">
        <f>Param!$C$45</f>
        <v>0.13</v>
      </c>
      <c r="D7" s="2">
        <f t="shared" si="0"/>
        <v>2.5480000000000005</v>
      </c>
      <c r="F7" s="45" t="s">
        <v>153</v>
      </c>
      <c r="G7" s="29">
        <f>Param!B18</f>
        <v>4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F8" s="43" t="s">
        <v>154</v>
      </c>
      <c r="G8" s="29">
        <f>Param!B18*(1+Param!B19)</f>
        <v>5.6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F9" s="51" t="s">
        <v>70</v>
      </c>
      <c r="G9" s="130">
        <f>Param!$B$17</f>
        <v>15000</v>
      </c>
    </row>
    <row r="10" spans="1:7" ht="12.75">
      <c r="A10" s="15" t="s">
        <v>90</v>
      </c>
      <c r="B10" s="103"/>
      <c r="C10" s="102"/>
      <c r="D10" s="15">
        <f>SUM(D4:D9)</f>
        <v>35.2766</v>
      </c>
      <c r="F10" s="51" t="s">
        <v>171</v>
      </c>
      <c r="G10" s="131">
        <f>G9*365</f>
        <v>5475000</v>
      </c>
    </row>
    <row r="11" spans="2:7" ht="12.75">
      <c r="B11" s="11"/>
      <c r="F11" s="51" t="s">
        <v>375</v>
      </c>
      <c r="G11" s="131">
        <f>G7*G10</f>
        <v>21900000</v>
      </c>
    </row>
    <row r="12" spans="1:7" ht="12.75">
      <c r="A12" s="2" t="s">
        <v>93</v>
      </c>
      <c r="B12" s="10">
        <f>$G$5*Param!$B$46</f>
        <v>16</v>
      </c>
      <c r="C12" s="2">
        <f>Param!E46</f>
        <v>0.2</v>
      </c>
      <c r="D12" s="2">
        <f>B12*C12</f>
        <v>3.2</v>
      </c>
      <c r="F12" s="51" t="s">
        <v>376</v>
      </c>
      <c r="G12" s="131">
        <f>G8*G10</f>
        <v>30659999.999999996</v>
      </c>
    </row>
    <row r="13" spans="1:7" ht="13.5" thickBot="1">
      <c r="A13" s="4" t="s">
        <v>72</v>
      </c>
      <c r="B13" s="4">
        <f>$G$5*Param!$B$47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3000</v>
      </c>
    </row>
    <row r="14" spans="1:7" ht="12.75">
      <c r="A14" s="104" t="s">
        <v>110</v>
      </c>
      <c r="B14" s="101"/>
      <c r="C14" s="100"/>
      <c r="D14" s="104">
        <f>SUM(D12:D13)</f>
        <v>3.2</v>
      </c>
      <c r="E14" s="6"/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38.476600000000005</v>
      </c>
      <c r="F16" s="45" t="s">
        <v>178</v>
      </c>
      <c r="G16" s="260">
        <f>Param!B31</f>
        <v>2.2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0.6913580246913581</v>
      </c>
      <c r="D18" s="18">
        <f>C18+B18</f>
        <v>3.691358024691358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42.167958024691366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16</v>
      </c>
      <c r="C23" s="2">
        <f>Param!C53</f>
        <v>0.1</v>
      </c>
      <c r="D23" s="2">
        <f>B23*C23</f>
        <v>1.6</v>
      </c>
    </row>
    <row r="24" spans="1:4" ht="12.75">
      <c r="A24" s="2" t="s">
        <v>6</v>
      </c>
      <c r="B24" s="11">
        <f>B12+B13</f>
        <v>16</v>
      </c>
      <c r="C24" s="2">
        <f>Param!C51</f>
        <v>0.005</v>
      </c>
      <c r="D24" s="2">
        <f>B24*C24</f>
        <v>0.08</v>
      </c>
    </row>
    <row r="25" spans="1:5" ht="13.5" thickBot="1">
      <c r="A25" s="4" t="s">
        <v>16</v>
      </c>
      <c r="B25" s="123">
        <f>$G$5</f>
        <v>16</v>
      </c>
      <c r="C25" s="26">
        <f>Param!C54</f>
        <v>0.01</v>
      </c>
      <c r="D25" s="4">
        <f>B25*C25+Param!C52</f>
        <v>1.16</v>
      </c>
      <c r="E25" s="1"/>
    </row>
    <row r="26" spans="1:5" ht="12.75">
      <c r="A26" s="15" t="s">
        <v>91</v>
      </c>
      <c r="B26" s="16"/>
      <c r="C26" s="17"/>
      <c r="D26" s="15">
        <f>SUM(D22:D25)</f>
        <v>2.89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45.05795802469137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345.67901234567904</v>
      </c>
      <c r="C30" s="17">
        <f>Param!$C$58</f>
        <v>0.025</v>
      </c>
      <c r="D30" s="15">
        <f>B30*C30</f>
        <v>8.641975308641976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53.69993333333334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2.684996666666667</v>
      </c>
      <c r="D34" s="88">
        <f>B34+C34</f>
        <v>7.684996666666667</v>
      </c>
    </row>
    <row r="35" spans="1:4" ht="13.5" thickBot="1">
      <c r="A35" s="4" t="s">
        <v>98</v>
      </c>
      <c r="B35" s="4">
        <f>Param!B61</f>
        <v>0</v>
      </c>
      <c r="C35" s="4">
        <f>Param!C61*D32</f>
        <v>2.684996666666667</v>
      </c>
      <c r="D35" s="4">
        <f>B35+C35</f>
        <v>2.684996666666667</v>
      </c>
    </row>
    <row r="36" spans="1:5" ht="12.75">
      <c r="A36" s="15" t="s">
        <v>188</v>
      </c>
      <c r="B36" s="16"/>
      <c r="C36" s="17"/>
      <c r="D36" s="15">
        <f>SUM(D34:D35)</f>
        <v>10.369993333333333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64.06992666666667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3.2</v>
      </c>
      <c r="C40" s="2">
        <f>(Param!G49+Param!G50)</f>
        <v>7</v>
      </c>
      <c r="D40" s="84">
        <f>(B40+C40)*Param!H51</f>
        <v>0.714</v>
      </c>
    </row>
    <row r="41" spans="1:4" ht="12.75">
      <c r="A41" s="2" t="s">
        <v>8</v>
      </c>
      <c r="B41" s="14">
        <f>G5</f>
        <v>16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30659999.999999996</v>
      </c>
      <c r="C42" s="12">
        <f>Param!H38*Param!H39</f>
        <v>0.01125</v>
      </c>
      <c r="D42" s="84">
        <f>(B42*C42)/1000000</f>
        <v>0.3449249999999999</v>
      </c>
    </row>
    <row r="43" spans="1:4" ht="12.75">
      <c r="A43" s="2" t="s">
        <v>191</v>
      </c>
      <c r="B43" s="35">
        <f>G12</f>
        <v>30659999.999999996</v>
      </c>
      <c r="C43" s="12">
        <f>Param!H38*Param!H40</f>
        <v>0.0075</v>
      </c>
      <c r="D43" s="84">
        <f>(B43*C43)/1000000</f>
        <v>0.22994999999999996</v>
      </c>
    </row>
    <row r="44" spans="1:5" ht="12.75">
      <c r="A44" s="2" t="s">
        <v>118</v>
      </c>
      <c r="B44" s="35">
        <f>G12</f>
        <v>30659999.999999996</v>
      </c>
      <c r="C44" s="86">
        <f>Param!G43</f>
        <v>0.001</v>
      </c>
      <c r="D44" s="84">
        <f>B44*C44/1000000</f>
        <v>0.030659999999999996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1.0739986666666668</v>
      </c>
      <c r="D45" s="84">
        <f>B45*C45</f>
        <v>0.021479973333333336</v>
      </c>
    </row>
    <row r="46" spans="1:4" ht="12.75">
      <c r="A46" s="2" t="s">
        <v>195</v>
      </c>
      <c r="B46" s="2">
        <f>SUM(D22:D25)</f>
        <v>2.89</v>
      </c>
      <c r="C46" s="12">
        <f>Param!G45</f>
        <v>0.02</v>
      </c>
      <c r="D46" s="84">
        <f>B46*C46</f>
        <v>0.057800000000000004</v>
      </c>
    </row>
    <row r="47" spans="1:4" ht="13.5" thickBot="1">
      <c r="A47" s="4" t="s">
        <v>227</v>
      </c>
      <c r="B47" s="123">
        <f>B30</f>
        <v>345.67901234567904</v>
      </c>
      <c r="C47" s="26">
        <f>Param!H46</f>
        <v>0.0002</v>
      </c>
      <c r="D47" s="143">
        <f>B47*C47</f>
        <v>0.06913580246913581</v>
      </c>
    </row>
    <row r="48" spans="1:5" ht="12.75">
      <c r="A48" s="15" t="s">
        <v>23</v>
      </c>
      <c r="B48" s="17"/>
      <c r="C48" s="17"/>
      <c r="D48" s="15">
        <f>SUM(D39:D46)</f>
        <v>1.398814973333333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0.035328903508771936</v>
      </c>
      <c r="E50" s="10">
        <f t="shared" si="1"/>
        <v>0</v>
      </c>
      <c r="F50" s="44">
        <f>-D57*B57</f>
        <v>10.369993333333333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0.10111837719298246</v>
      </c>
      <c r="E51" s="10">
        <f t="shared" si="1"/>
        <v>0</v>
      </c>
      <c r="F51" s="44">
        <f>-D58*B58</f>
        <v>0.7342171323569373</v>
      </c>
      <c r="G51" s="44">
        <f>F51</f>
        <v>0.7342171323569373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0.592867868745939</v>
      </c>
      <c r="E52" s="10">
        <f t="shared" si="1"/>
        <v>0</v>
      </c>
      <c r="F52" s="44">
        <f>-D59*B59</f>
        <v>6.121178689843624</v>
      </c>
      <c r="G52" s="2">
        <f>F52</f>
        <v>6.121178689843624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0.33238366571699907</v>
      </c>
      <c r="E53" s="10">
        <f t="shared" si="1"/>
        <v>0</v>
      </c>
      <c r="F53" s="44">
        <f>-D60*B60</f>
        <v>4.395933780656023</v>
      </c>
      <c r="G53" s="2">
        <f>F53*2</f>
        <v>8.791867561312046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0.3757</v>
      </c>
      <c r="E54" s="10">
        <f t="shared" si="1"/>
        <v>0</v>
      </c>
      <c r="F54" s="44">
        <f>-D61*B61</f>
        <v>2.121043097351527</v>
      </c>
      <c r="G54" s="5">
        <f>F54*6</f>
        <v>12.726258584109162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1.300951534462938</v>
      </c>
      <c r="E55" s="10">
        <f t="shared" si="1"/>
        <v>0</v>
      </c>
      <c r="F55" s="44">
        <f>SUM(F51:F54)</f>
        <v>13.37237270020811</v>
      </c>
      <c r="G55" s="1">
        <f>SUM(G51:G54)</f>
        <v>28.37352196762177</v>
      </c>
      <c r="H55" s="1">
        <f>I66*20</f>
        <v>67.70501869890285</v>
      </c>
      <c r="I55" s="1">
        <f>I75*10</f>
        <v>85.45572631642762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0.13644728070175438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0.009660751741538649</v>
      </c>
      <c r="E58" s="2">
        <f>D36</f>
        <v>10.369993333333333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0.08054182486636347</v>
      </c>
      <c r="E59" s="2">
        <f>D32</f>
        <v>53.69993333333334</v>
      </c>
      <c r="F59" s="164" t="s">
        <v>28</v>
      </c>
      <c r="G59" s="165">
        <f>$D$67</f>
        <v>1.382814973333333</v>
      </c>
      <c r="H59" s="166">
        <f>$G$12</f>
        <v>30659999.999999996</v>
      </c>
      <c r="I59" s="167">
        <f>(G59/H59)*1000000</f>
        <v>0.04510159730376168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0.1690743761790778</v>
      </c>
      <c r="E60" s="2">
        <f>D30</f>
        <v>8.641975308641976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0.16315716133473285</v>
      </c>
      <c r="E61" s="5">
        <f>D26</f>
        <v>2.89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0.41277336238017415</v>
      </c>
      <c r="E62" s="30">
        <f>SUM(E58:E61)</f>
        <v>75.60190197530865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1.7137248968431122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2.2882116666666668</v>
      </c>
    </row>
    <row r="65" spans="1:9" ht="12.75">
      <c r="A65" s="24" t="s">
        <v>291</v>
      </c>
      <c r="B65" s="30"/>
      <c r="C65" s="30"/>
      <c r="D65" s="85">
        <f>D48+D64</f>
        <v>3.1125398701764455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1.0970392682784755</v>
      </c>
    </row>
    <row r="66" spans="1:9" ht="12.75">
      <c r="A66" s="24" t="s">
        <v>292</v>
      </c>
      <c r="B66" s="30"/>
      <c r="C66" s="30"/>
      <c r="D66" s="85">
        <f>D65-D80</f>
        <v>3.0965398701764455</v>
      </c>
      <c r="F66" s="161" t="s">
        <v>212</v>
      </c>
      <c r="G66" s="100"/>
      <c r="H66" s="100"/>
      <c r="I66" s="162">
        <f>SUM(I64:I65)</f>
        <v>3.3852509349451423</v>
      </c>
    </row>
    <row r="67" spans="1:9" ht="12.75">
      <c r="A67" s="24" t="s">
        <v>293</v>
      </c>
      <c r="B67" s="30"/>
      <c r="C67" s="30"/>
      <c r="D67" s="85">
        <f>D48-D80</f>
        <v>1.382814973333333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4.7680659082784755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4.7680659082784755</v>
      </c>
      <c r="H69" s="166">
        <f>$G$12</f>
        <v>30659999.999999996</v>
      </c>
      <c r="I69" s="167">
        <f>(G69/H69)*1000000</f>
        <v>0.15551421749114402</v>
      </c>
    </row>
    <row r="70" spans="1:9" ht="13.5" thickBot="1">
      <c r="A70" s="24" t="s">
        <v>71</v>
      </c>
      <c r="B70" s="124">
        <f>G10</f>
        <v>5475000</v>
      </c>
      <c r="C70" s="125">
        <f>G16</f>
        <v>2.2</v>
      </c>
      <c r="D70" s="47">
        <f>B70*C70*Param!$B$32/1000000</f>
        <v>12.045000000000002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12.045000000000002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4.928455897435898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3.6171167342068635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8.545572631642761</v>
      </c>
    </row>
    <row r="76" spans="1:9" ht="12.75">
      <c r="A76" s="3" t="s">
        <v>11</v>
      </c>
      <c r="B76" s="11">
        <f>$G$5</f>
        <v>16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16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9.928387604976095</v>
      </c>
    </row>
    <row r="78" spans="1:9" ht="13.5" thickBot="1">
      <c r="A78" s="36" t="s">
        <v>29</v>
      </c>
      <c r="B78" s="107">
        <f>B12+B13</f>
        <v>16</v>
      </c>
      <c r="C78" s="36">
        <f>Param!$G$33</f>
        <v>0.001</v>
      </c>
      <c r="D78" s="36">
        <f>B78*C78</f>
        <v>0.016</v>
      </c>
      <c r="F78" s="164" t="s">
        <v>37</v>
      </c>
      <c r="G78" s="165">
        <f>I77</f>
        <v>9.928387604976095</v>
      </c>
      <c r="H78" s="166">
        <f>$G$12</f>
        <v>30659999.999999996</v>
      </c>
      <c r="I78" s="167">
        <f>(G78/H78)*1000000</f>
        <v>0.32382216585049234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0.016</v>
      </c>
      <c r="E80" s="30"/>
    </row>
    <row r="81" spans="1:5" ht="12.75">
      <c r="A81" s="94" t="s">
        <v>35</v>
      </c>
      <c r="B81" s="94"/>
      <c r="C81" s="94"/>
      <c r="D81" s="93">
        <f>$D$72+$D$80</f>
        <v>12.061000000000002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1.398814973333333</v>
      </c>
    </row>
    <row r="84" spans="1:4" ht="16.5" thickBot="1">
      <c r="A84" s="54" t="s">
        <v>39</v>
      </c>
      <c r="B84" s="55"/>
      <c r="C84" s="55"/>
      <c r="D84" s="55">
        <f>D81-D83</f>
        <v>10.662185026666668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10.369993333333333</v>
      </c>
      <c r="C89" s="59">
        <v>0</v>
      </c>
      <c r="D89" s="59"/>
      <c r="E89" s="63">
        <f>+B89*-1</f>
        <v>-10.369993333333333</v>
      </c>
      <c r="F89" s="64">
        <f>IRR(E89:E101,0.1)</f>
        <v>0.0649038873459596</v>
      </c>
      <c r="G89" s="81">
        <f>NPV(Param!$B$38,E89:E101)</f>
        <v>5.281778385525506</v>
      </c>
    </row>
    <row r="90" spans="1:7" ht="12.75">
      <c r="A90" s="59">
        <v>2</v>
      </c>
      <c r="B90" s="62">
        <f>0.4*D32</f>
        <v>21.479973333333337</v>
      </c>
      <c r="C90" s="59">
        <v>0</v>
      </c>
      <c r="D90" s="59"/>
      <c r="E90" s="63">
        <f>+B90*-1</f>
        <v>-21.479973333333337</v>
      </c>
      <c r="F90" s="65"/>
      <c r="G90" s="65"/>
    </row>
    <row r="91" spans="1:7" ht="12.75">
      <c r="A91" s="59">
        <v>3</v>
      </c>
      <c r="B91" s="62">
        <f>0.6*D32</f>
        <v>32.21996</v>
      </c>
      <c r="C91" s="59">
        <v>0</v>
      </c>
      <c r="D91" s="59"/>
      <c r="E91" s="63">
        <f>+B91*-1</f>
        <v>-32.21996</v>
      </c>
      <c r="F91" s="66"/>
      <c r="G91" s="65"/>
    </row>
    <row r="92" spans="1:7" ht="12.75">
      <c r="A92" s="59">
        <v>4</v>
      </c>
      <c r="B92" s="59"/>
      <c r="C92" s="67">
        <f>$D$84*0.3</f>
        <v>3.1986555080000003</v>
      </c>
      <c r="D92" s="59"/>
      <c r="E92" s="63">
        <f aca="true" t="shared" si="2" ref="E92:E101">C92</f>
        <v>3.1986555080000003</v>
      </c>
      <c r="F92" s="65"/>
      <c r="G92" s="65"/>
    </row>
    <row r="93" spans="1:7" ht="12.75">
      <c r="A93" s="59">
        <v>5</v>
      </c>
      <c r="B93" s="59"/>
      <c r="C93" s="67">
        <f>$D$84*0.7</f>
        <v>7.463529518666667</v>
      </c>
      <c r="D93" s="59"/>
      <c r="E93" s="63">
        <f t="shared" si="2"/>
        <v>7.463529518666667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10.662185026666668</v>
      </c>
      <c r="D94" s="59"/>
      <c r="E94" s="63">
        <f t="shared" si="2"/>
        <v>10.662185026666668</v>
      </c>
      <c r="F94" s="66"/>
      <c r="G94" s="65"/>
    </row>
    <row r="95" spans="1:7" ht="12.75">
      <c r="A95" s="59">
        <v>7</v>
      </c>
      <c r="B95" s="59"/>
      <c r="C95" s="67">
        <f t="shared" si="3"/>
        <v>10.662185026666668</v>
      </c>
      <c r="D95" s="59"/>
      <c r="E95" s="63">
        <f t="shared" si="2"/>
        <v>10.662185026666668</v>
      </c>
      <c r="F95" s="66"/>
      <c r="G95" s="65"/>
    </row>
    <row r="96" spans="1:7" ht="12.75">
      <c r="A96" s="59">
        <v>8</v>
      </c>
      <c r="B96" s="59"/>
      <c r="C96" s="67">
        <f t="shared" si="3"/>
        <v>10.662185026666668</v>
      </c>
      <c r="D96" s="59"/>
      <c r="E96" s="63">
        <f t="shared" si="2"/>
        <v>10.662185026666668</v>
      </c>
      <c r="F96" s="66"/>
      <c r="G96" s="65"/>
    </row>
    <row r="97" spans="1:7" ht="12.75">
      <c r="A97" s="59">
        <v>9</v>
      </c>
      <c r="B97" s="59"/>
      <c r="C97" s="67">
        <f t="shared" si="3"/>
        <v>10.662185026666668</v>
      </c>
      <c r="D97" s="59"/>
      <c r="E97" s="63">
        <f t="shared" si="2"/>
        <v>10.662185026666668</v>
      </c>
      <c r="F97" s="66"/>
      <c r="G97" s="65"/>
    </row>
    <row r="98" spans="1:7" ht="12.75">
      <c r="A98" s="59">
        <v>10</v>
      </c>
      <c r="B98" s="59"/>
      <c r="C98" s="67">
        <f t="shared" si="3"/>
        <v>10.662185026666668</v>
      </c>
      <c r="D98" s="59"/>
      <c r="E98" s="63">
        <f t="shared" si="2"/>
        <v>10.662185026666668</v>
      </c>
      <c r="F98" s="66"/>
      <c r="G98" s="65"/>
    </row>
    <row r="99" spans="1:7" ht="12.75">
      <c r="A99" s="59">
        <v>11</v>
      </c>
      <c r="B99" s="59"/>
      <c r="C99" s="67">
        <f t="shared" si="3"/>
        <v>10.662185026666668</v>
      </c>
      <c r="D99" s="59"/>
      <c r="E99" s="63">
        <f t="shared" si="2"/>
        <v>10.662185026666668</v>
      </c>
      <c r="F99" s="66"/>
      <c r="G99" s="65"/>
    </row>
    <row r="100" spans="1:7" ht="12.75">
      <c r="A100" s="59">
        <v>12</v>
      </c>
      <c r="B100" s="59"/>
      <c r="C100" s="67">
        <f t="shared" si="3"/>
        <v>10.662185026666668</v>
      </c>
      <c r="D100" s="59"/>
      <c r="E100" s="63">
        <f t="shared" si="2"/>
        <v>10.662185026666668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10.662185026666668</v>
      </c>
      <c r="D101" s="138"/>
      <c r="E101" s="140">
        <f t="shared" si="2"/>
        <v>10.662185026666668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12.061000000000002</v>
      </c>
    </row>
    <row r="104" spans="1:4" ht="12.75">
      <c r="A104" s="53" t="s">
        <v>290</v>
      </c>
      <c r="B104" s="53"/>
      <c r="C104" s="53"/>
      <c r="D104" s="53">
        <f>$D$48</f>
        <v>1.398814973333333</v>
      </c>
    </row>
    <row r="105" spans="1:4" ht="16.5" thickBot="1">
      <c r="A105" s="54" t="s">
        <v>197</v>
      </c>
      <c r="B105" s="55"/>
      <c r="C105" s="55"/>
      <c r="D105" s="55">
        <f>D103-D104</f>
        <v>10.662185026666668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10.369993333333333</v>
      </c>
      <c r="C109" s="59">
        <v>0</v>
      </c>
      <c r="D109" s="59"/>
      <c r="E109" s="63">
        <f>+B109*-1</f>
        <v>-10.369993333333333</v>
      </c>
      <c r="F109" s="64">
        <f>IRR(E109:E136,0.1)</f>
        <v>0.1287546065021607</v>
      </c>
      <c r="G109" s="81">
        <f>NPV(Param!$B$38,E109:E136)</f>
        <v>63.97235450206504</v>
      </c>
    </row>
    <row r="110" spans="1:7" ht="12.75">
      <c r="A110" s="59">
        <v>2</v>
      </c>
      <c r="B110" s="62">
        <f>0.4*D32</f>
        <v>21.479973333333337</v>
      </c>
      <c r="C110" s="59">
        <v>0</v>
      </c>
      <c r="D110" s="59"/>
      <c r="E110" s="63">
        <f>+B110*-1</f>
        <v>-21.479973333333337</v>
      </c>
      <c r="F110" s="65"/>
      <c r="G110" s="65"/>
    </row>
    <row r="111" spans="1:7" ht="12.75">
      <c r="A111" s="59">
        <v>3</v>
      </c>
      <c r="B111" s="62">
        <f>0.6*D32</f>
        <v>32.21996</v>
      </c>
      <c r="C111" s="59">
        <v>0</v>
      </c>
      <c r="D111" s="59"/>
      <c r="E111" s="63">
        <f>+B111*-1</f>
        <v>-32.21996</v>
      </c>
      <c r="F111" s="66"/>
      <c r="G111" s="65"/>
    </row>
    <row r="112" spans="1:7" ht="12.75">
      <c r="A112" s="59">
        <v>4</v>
      </c>
      <c r="B112" s="59"/>
      <c r="C112" s="67">
        <f>$D$105*0.3</f>
        <v>3.1986555080000003</v>
      </c>
      <c r="D112" s="59"/>
      <c r="E112" s="63">
        <f>C112</f>
        <v>3.1986555080000003</v>
      </c>
      <c r="F112" s="65"/>
      <c r="G112" s="65"/>
    </row>
    <row r="113" spans="1:7" ht="12.75">
      <c r="A113" s="59">
        <v>5</v>
      </c>
      <c r="B113" s="59"/>
      <c r="C113" s="67">
        <f>$D$105*0.7</f>
        <v>7.463529518666667</v>
      </c>
      <c r="D113" s="59"/>
      <c r="E113" s="63">
        <f aca="true" t="shared" si="4" ref="E113:E136">C113</f>
        <v>7.463529518666667</v>
      </c>
      <c r="F113" s="66"/>
      <c r="G113" s="65"/>
    </row>
    <row r="114" spans="1:7" ht="12.75">
      <c r="A114" s="59">
        <v>6</v>
      </c>
      <c r="B114" s="59"/>
      <c r="C114" s="67">
        <f>$D$105</f>
        <v>10.662185026666668</v>
      </c>
      <c r="D114" s="59"/>
      <c r="E114" s="63">
        <f t="shared" si="4"/>
        <v>10.662185026666668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10.662185026666668</v>
      </c>
      <c r="D115" s="59"/>
      <c r="E115" s="63">
        <f t="shared" si="4"/>
        <v>10.662185026666668</v>
      </c>
      <c r="F115" s="66"/>
      <c r="G115" s="65"/>
    </row>
    <row r="116" spans="1:7" ht="12.75">
      <c r="A116" s="59">
        <v>8</v>
      </c>
      <c r="B116" s="59"/>
      <c r="C116" s="67">
        <f t="shared" si="5"/>
        <v>10.662185026666668</v>
      </c>
      <c r="D116" s="59"/>
      <c r="E116" s="63">
        <f t="shared" si="4"/>
        <v>10.662185026666668</v>
      </c>
      <c r="F116" s="66"/>
      <c r="G116" s="65"/>
    </row>
    <row r="117" spans="1:7" ht="12.75">
      <c r="A117" s="59">
        <v>9</v>
      </c>
      <c r="B117" s="59"/>
      <c r="C117" s="67">
        <f t="shared" si="5"/>
        <v>10.662185026666668</v>
      </c>
      <c r="D117" s="59"/>
      <c r="E117" s="63">
        <f t="shared" si="4"/>
        <v>10.662185026666668</v>
      </c>
      <c r="F117" s="66"/>
      <c r="G117" s="65"/>
    </row>
    <row r="118" spans="1:7" ht="12.75">
      <c r="A118" s="59">
        <v>10</v>
      </c>
      <c r="B118" s="59"/>
      <c r="C118" s="67">
        <f t="shared" si="5"/>
        <v>10.662185026666668</v>
      </c>
      <c r="D118" s="59"/>
      <c r="E118" s="63">
        <f t="shared" si="4"/>
        <v>10.662185026666668</v>
      </c>
      <c r="F118" s="66"/>
      <c r="G118" s="65"/>
    </row>
    <row r="119" spans="1:7" ht="12.75">
      <c r="A119" s="59">
        <v>11</v>
      </c>
      <c r="B119" s="59"/>
      <c r="C119" s="67">
        <f t="shared" si="5"/>
        <v>10.662185026666668</v>
      </c>
      <c r="D119" s="59"/>
      <c r="E119" s="63">
        <f t="shared" si="4"/>
        <v>10.662185026666668</v>
      </c>
      <c r="F119" s="66"/>
      <c r="G119" s="65"/>
    </row>
    <row r="120" spans="1:7" ht="12.75">
      <c r="A120" s="59">
        <v>12</v>
      </c>
      <c r="B120" s="59"/>
      <c r="C120" s="67">
        <f t="shared" si="5"/>
        <v>10.662185026666668</v>
      </c>
      <c r="D120" s="59"/>
      <c r="E120" s="63">
        <f t="shared" si="4"/>
        <v>10.662185026666668</v>
      </c>
      <c r="F120" s="66"/>
      <c r="G120" s="65"/>
    </row>
    <row r="121" spans="1:7" ht="12.75">
      <c r="A121" s="59">
        <v>13</v>
      </c>
      <c r="B121" s="59"/>
      <c r="C121" s="67">
        <f t="shared" si="5"/>
        <v>10.662185026666668</v>
      </c>
      <c r="D121" s="59"/>
      <c r="E121" s="63">
        <f t="shared" si="4"/>
        <v>10.662185026666668</v>
      </c>
      <c r="F121" s="66"/>
      <c r="G121" s="65"/>
    </row>
    <row r="122" spans="1:7" ht="12.75">
      <c r="A122" s="59">
        <v>14</v>
      </c>
      <c r="B122" s="59"/>
      <c r="C122" s="67">
        <f t="shared" si="5"/>
        <v>10.662185026666668</v>
      </c>
      <c r="D122" s="59"/>
      <c r="E122" s="63">
        <f t="shared" si="4"/>
        <v>10.662185026666668</v>
      </c>
      <c r="F122" s="66"/>
      <c r="G122" s="65"/>
    </row>
    <row r="123" spans="1:7" ht="12.75">
      <c r="A123" s="59">
        <v>15</v>
      </c>
      <c r="B123" s="59"/>
      <c r="C123" s="67">
        <f t="shared" si="5"/>
        <v>10.662185026666668</v>
      </c>
      <c r="D123" s="59"/>
      <c r="E123" s="63">
        <f t="shared" si="4"/>
        <v>10.662185026666668</v>
      </c>
      <c r="F123" s="66"/>
      <c r="G123" s="65"/>
    </row>
    <row r="124" spans="1:7" ht="12.75">
      <c r="A124" s="59">
        <v>16</v>
      </c>
      <c r="B124" s="59"/>
      <c r="C124" s="67">
        <f t="shared" si="5"/>
        <v>10.662185026666668</v>
      </c>
      <c r="D124" s="59"/>
      <c r="E124" s="63">
        <f t="shared" si="4"/>
        <v>10.662185026666668</v>
      </c>
      <c r="F124" s="66"/>
      <c r="G124" s="65"/>
    </row>
    <row r="125" spans="1:7" ht="12.75">
      <c r="A125" s="59">
        <v>17</v>
      </c>
      <c r="B125" s="59"/>
      <c r="C125" s="67">
        <f t="shared" si="5"/>
        <v>10.662185026666668</v>
      </c>
      <c r="D125" s="59"/>
      <c r="E125" s="63">
        <f t="shared" si="4"/>
        <v>10.662185026666668</v>
      </c>
      <c r="F125" s="66"/>
      <c r="G125" s="65"/>
    </row>
    <row r="126" spans="1:7" ht="12.75">
      <c r="A126" s="59">
        <v>18</v>
      </c>
      <c r="B126" s="59"/>
      <c r="C126" s="67">
        <f t="shared" si="5"/>
        <v>10.662185026666668</v>
      </c>
      <c r="D126" s="59"/>
      <c r="E126" s="63">
        <f t="shared" si="4"/>
        <v>10.662185026666668</v>
      </c>
      <c r="F126" s="66"/>
      <c r="G126" s="65"/>
    </row>
    <row r="127" spans="1:7" ht="12.75">
      <c r="A127" s="59">
        <v>19</v>
      </c>
      <c r="B127" s="59"/>
      <c r="C127" s="67">
        <f t="shared" si="5"/>
        <v>10.662185026666668</v>
      </c>
      <c r="D127" s="59"/>
      <c r="E127" s="63">
        <f t="shared" si="4"/>
        <v>10.662185026666668</v>
      </c>
      <c r="F127" s="66"/>
      <c r="G127" s="65"/>
    </row>
    <row r="128" spans="1:7" ht="12.75">
      <c r="A128" s="59">
        <v>20</v>
      </c>
      <c r="B128" s="59"/>
      <c r="C128" s="67">
        <f t="shared" si="5"/>
        <v>10.662185026666668</v>
      </c>
      <c r="D128" s="59"/>
      <c r="E128" s="63">
        <f t="shared" si="4"/>
        <v>10.662185026666668</v>
      </c>
      <c r="F128" s="66"/>
      <c r="G128" s="65"/>
    </row>
    <row r="129" spans="1:7" ht="12.75">
      <c r="A129" s="59">
        <v>21</v>
      </c>
      <c r="B129" s="59"/>
      <c r="C129" s="67">
        <f t="shared" si="5"/>
        <v>10.662185026666668</v>
      </c>
      <c r="D129" s="59"/>
      <c r="E129" s="63">
        <f t="shared" si="4"/>
        <v>10.662185026666668</v>
      </c>
      <c r="F129" s="66"/>
      <c r="G129" s="65"/>
    </row>
    <row r="130" spans="1:7" ht="12.75">
      <c r="A130" s="59">
        <v>22</v>
      </c>
      <c r="B130" s="59"/>
      <c r="C130" s="67">
        <f t="shared" si="5"/>
        <v>10.662185026666668</v>
      </c>
      <c r="D130" s="59"/>
      <c r="E130" s="63">
        <f t="shared" si="4"/>
        <v>10.662185026666668</v>
      </c>
      <c r="F130" s="66"/>
      <c r="G130" s="65"/>
    </row>
    <row r="131" spans="1:7" ht="12.75">
      <c r="A131" s="59">
        <v>23</v>
      </c>
      <c r="B131" s="59"/>
      <c r="C131" s="67">
        <f t="shared" si="5"/>
        <v>10.662185026666668</v>
      </c>
      <c r="D131" s="59"/>
      <c r="E131" s="63">
        <f t="shared" si="4"/>
        <v>10.662185026666668</v>
      </c>
      <c r="F131" s="66"/>
      <c r="G131" s="65"/>
    </row>
    <row r="132" spans="1:7" ht="12.75">
      <c r="A132" s="59">
        <v>24</v>
      </c>
      <c r="B132" s="59"/>
      <c r="C132" s="67">
        <f t="shared" si="5"/>
        <v>10.662185026666668</v>
      </c>
      <c r="D132" s="59"/>
      <c r="E132" s="63">
        <f t="shared" si="4"/>
        <v>10.662185026666668</v>
      </c>
      <c r="F132" s="66"/>
      <c r="G132" s="65"/>
    </row>
    <row r="133" spans="1:7" ht="12.75">
      <c r="A133" s="59">
        <v>25</v>
      </c>
      <c r="B133" s="59"/>
      <c r="C133" s="67">
        <f t="shared" si="5"/>
        <v>10.662185026666668</v>
      </c>
      <c r="D133" s="59"/>
      <c r="E133" s="63">
        <f t="shared" si="4"/>
        <v>10.662185026666668</v>
      </c>
      <c r="F133" s="66"/>
      <c r="G133" s="65"/>
    </row>
    <row r="134" spans="1:7" ht="12.75">
      <c r="A134" s="59">
        <v>26</v>
      </c>
      <c r="B134" s="59"/>
      <c r="C134" s="67">
        <f t="shared" si="5"/>
        <v>10.662185026666668</v>
      </c>
      <c r="D134" s="59"/>
      <c r="E134" s="63">
        <f t="shared" si="4"/>
        <v>10.662185026666668</v>
      </c>
      <c r="F134" s="66"/>
      <c r="G134" s="65"/>
    </row>
    <row r="135" spans="1:7" ht="12.75">
      <c r="A135" s="59">
        <v>27</v>
      </c>
      <c r="B135" s="59"/>
      <c r="C135" s="67">
        <f t="shared" si="5"/>
        <v>10.662185026666668</v>
      </c>
      <c r="D135" s="59"/>
      <c r="E135" s="63">
        <f t="shared" si="4"/>
        <v>10.662185026666668</v>
      </c>
      <c r="F135" s="66"/>
      <c r="G135" s="65"/>
    </row>
    <row r="136" spans="1:7" ht="13.5" thickBot="1">
      <c r="A136" s="138">
        <v>28</v>
      </c>
      <c r="B136" s="138"/>
      <c r="C136" s="139">
        <f>$D$84</f>
        <v>10.662185026666668</v>
      </c>
      <c r="D136" s="138"/>
      <c r="E136" s="140">
        <f t="shared" si="4"/>
        <v>10.662185026666668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12.061000000000002</v>
      </c>
    </row>
    <row r="139" spans="1:4" ht="12.75">
      <c r="A139" s="53" t="s">
        <v>48</v>
      </c>
      <c r="B139" s="53"/>
      <c r="C139" s="53"/>
      <c r="D139" s="53">
        <f>$D$48</f>
        <v>1.398814973333333</v>
      </c>
    </row>
    <row r="140" spans="1:4" ht="16.5" thickBot="1">
      <c r="A140" s="54" t="s">
        <v>196</v>
      </c>
      <c r="B140" s="55"/>
      <c r="C140" s="55"/>
      <c r="D140" s="55">
        <f>D138-D139</f>
        <v>10.662185026666668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10.369993333333333</v>
      </c>
      <c r="C144" s="59">
        <v>0</v>
      </c>
      <c r="D144" s="59"/>
      <c r="E144" s="63">
        <f>+B144*-1</f>
        <v>-10.369993333333333</v>
      </c>
      <c r="F144" s="64">
        <f>IRR(E144:E221,0.1)</f>
        <v>0.13492870661482328</v>
      </c>
      <c r="G144" s="81">
        <f>NPV(Param!$B$38,E144:E221)</f>
        <v>113.62583483867898</v>
      </c>
    </row>
    <row r="145" spans="1:7" ht="12.75">
      <c r="A145" s="59">
        <v>2</v>
      </c>
      <c r="B145" s="62">
        <f>0.4*D32</f>
        <v>21.479973333333337</v>
      </c>
      <c r="C145" s="59">
        <v>0</v>
      </c>
      <c r="D145" s="59"/>
      <c r="E145" s="63">
        <f>+B145*-1</f>
        <v>-21.479973333333337</v>
      </c>
      <c r="F145" s="65"/>
      <c r="G145" s="65"/>
    </row>
    <row r="146" spans="1:7" ht="12.75">
      <c r="A146" s="59">
        <v>3</v>
      </c>
      <c r="B146" s="62">
        <f>0.6*D32</f>
        <v>32.21996</v>
      </c>
      <c r="C146" s="59">
        <v>0</v>
      </c>
      <c r="D146" s="59"/>
      <c r="E146" s="63">
        <f>+B146*-1</f>
        <v>-32.21996</v>
      </c>
      <c r="F146" s="66"/>
      <c r="G146" s="65"/>
    </row>
    <row r="147" spans="1:7" ht="12.75">
      <c r="A147" s="59">
        <v>4</v>
      </c>
      <c r="B147" s="59"/>
      <c r="C147" s="67">
        <f>$D$140*0.3</f>
        <v>3.1986555080000003</v>
      </c>
      <c r="D147" s="59"/>
      <c r="E147" s="63">
        <f>C147</f>
        <v>3.1986555080000003</v>
      </c>
      <c r="F147" s="65"/>
      <c r="G147" s="65"/>
    </row>
    <row r="148" spans="1:7" ht="12.75">
      <c r="A148" s="59">
        <v>5</v>
      </c>
      <c r="B148" s="59"/>
      <c r="C148" s="67">
        <f>$D$140*0.7</f>
        <v>7.463529518666667</v>
      </c>
      <c r="D148" s="59"/>
      <c r="E148" s="63">
        <f aca="true" t="shared" si="6" ref="E148:E211">C148</f>
        <v>7.463529518666667</v>
      </c>
      <c r="F148" s="66"/>
      <c r="G148" s="65"/>
    </row>
    <row r="149" spans="1:7" ht="12.75">
      <c r="A149" s="59">
        <v>6</v>
      </c>
      <c r="B149" s="59"/>
      <c r="C149" s="67">
        <f>$D$140</f>
        <v>10.662185026666668</v>
      </c>
      <c r="D149" s="59"/>
      <c r="E149" s="63">
        <f t="shared" si="6"/>
        <v>10.662185026666668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10.662185026666668</v>
      </c>
      <c r="D150" s="59"/>
      <c r="E150" s="63">
        <f t="shared" si="6"/>
        <v>10.662185026666668</v>
      </c>
      <c r="F150" s="66"/>
      <c r="G150" s="65"/>
    </row>
    <row r="151" spans="1:7" ht="12.75">
      <c r="A151" s="59">
        <v>8</v>
      </c>
      <c r="B151" s="59"/>
      <c r="C151" s="67">
        <f t="shared" si="7"/>
        <v>10.662185026666668</v>
      </c>
      <c r="D151" s="59"/>
      <c r="E151" s="63">
        <f t="shared" si="6"/>
        <v>10.662185026666668</v>
      </c>
      <c r="F151" s="66"/>
      <c r="G151" s="65"/>
    </row>
    <row r="152" spans="1:7" ht="12.75">
      <c r="A152" s="59">
        <v>9</v>
      </c>
      <c r="B152" s="59"/>
      <c r="C152" s="67">
        <f t="shared" si="7"/>
        <v>10.662185026666668</v>
      </c>
      <c r="D152" s="59"/>
      <c r="E152" s="63">
        <f t="shared" si="6"/>
        <v>10.662185026666668</v>
      </c>
      <c r="F152" s="66"/>
      <c r="G152" s="65"/>
    </row>
    <row r="153" spans="1:7" ht="12.75">
      <c r="A153" s="59">
        <v>10</v>
      </c>
      <c r="B153" s="59"/>
      <c r="C153" s="67">
        <f t="shared" si="7"/>
        <v>10.662185026666668</v>
      </c>
      <c r="D153" s="59"/>
      <c r="E153" s="63">
        <f t="shared" si="6"/>
        <v>10.662185026666668</v>
      </c>
      <c r="F153" s="66"/>
      <c r="G153" s="65"/>
    </row>
    <row r="154" spans="1:7" ht="12.75">
      <c r="A154" s="59">
        <v>11</v>
      </c>
      <c r="C154" s="67">
        <f t="shared" si="7"/>
        <v>10.662185026666668</v>
      </c>
      <c r="E154" s="63">
        <f t="shared" si="6"/>
        <v>10.662185026666668</v>
      </c>
      <c r="F154" s="66"/>
      <c r="G154" s="65"/>
    </row>
    <row r="155" spans="1:7" ht="12.75">
      <c r="A155" s="59">
        <v>12</v>
      </c>
      <c r="C155" s="67">
        <f t="shared" si="7"/>
        <v>10.662185026666668</v>
      </c>
      <c r="E155" s="63">
        <f t="shared" si="6"/>
        <v>10.662185026666668</v>
      </c>
      <c r="F155" s="66"/>
      <c r="G155" s="65"/>
    </row>
    <row r="156" spans="1:7" ht="12.75">
      <c r="A156" s="59">
        <v>13</v>
      </c>
      <c r="C156" s="67">
        <f t="shared" si="7"/>
        <v>10.662185026666668</v>
      </c>
      <c r="E156" s="63">
        <f t="shared" si="6"/>
        <v>10.662185026666668</v>
      </c>
      <c r="F156" s="66"/>
      <c r="G156" s="65"/>
    </row>
    <row r="157" spans="1:7" ht="12.75">
      <c r="A157" s="59">
        <v>14</v>
      </c>
      <c r="C157" s="67">
        <f t="shared" si="7"/>
        <v>10.662185026666668</v>
      </c>
      <c r="E157" s="63">
        <f t="shared" si="6"/>
        <v>10.662185026666668</v>
      </c>
      <c r="F157" s="66"/>
      <c r="G157" s="65"/>
    </row>
    <row r="158" spans="1:7" ht="12.75">
      <c r="A158" s="59">
        <v>15</v>
      </c>
      <c r="C158" s="67">
        <f t="shared" si="7"/>
        <v>10.662185026666668</v>
      </c>
      <c r="E158" s="63">
        <f t="shared" si="6"/>
        <v>10.662185026666668</v>
      </c>
      <c r="F158" s="66"/>
      <c r="G158" s="65"/>
    </row>
    <row r="159" spans="1:7" ht="12.75">
      <c r="A159" s="59">
        <v>16</v>
      </c>
      <c r="C159" s="67">
        <f t="shared" si="7"/>
        <v>10.662185026666668</v>
      </c>
      <c r="E159" s="63">
        <f t="shared" si="6"/>
        <v>10.662185026666668</v>
      </c>
      <c r="F159" s="66"/>
      <c r="G159" s="65"/>
    </row>
    <row r="160" spans="1:7" ht="12.75">
      <c r="A160" s="59">
        <v>17</v>
      </c>
      <c r="C160" s="67">
        <f t="shared" si="7"/>
        <v>10.662185026666668</v>
      </c>
      <c r="E160" s="63">
        <f t="shared" si="6"/>
        <v>10.662185026666668</v>
      </c>
      <c r="F160" s="66"/>
      <c r="G160" s="65"/>
    </row>
    <row r="161" spans="1:7" ht="12.75">
      <c r="A161" s="59">
        <v>18</v>
      </c>
      <c r="C161" s="67">
        <f t="shared" si="7"/>
        <v>10.662185026666668</v>
      </c>
      <c r="E161" s="63">
        <f t="shared" si="6"/>
        <v>10.662185026666668</v>
      </c>
      <c r="F161" s="66"/>
      <c r="G161" s="65"/>
    </row>
    <row r="162" spans="1:7" ht="12.75">
      <c r="A162" s="59">
        <v>19</v>
      </c>
      <c r="C162" s="67">
        <f t="shared" si="7"/>
        <v>10.662185026666668</v>
      </c>
      <c r="E162" s="63">
        <f t="shared" si="6"/>
        <v>10.662185026666668</v>
      </c>
      <c r="F162" s="66"/>
      <c r="G162" s="65"/>
    </row>
    <row r="163" spans="1:7" ht="12.75">
      <c r="A163" s="59">
        <v>20</v>
      </c>
      <c r="C163" s="67">
        <f t="shared" si="7"/>
        <v>10.662185026666668</v>
      </c>
      <c r="E163" s="63">
        <f t="shared" si="6"/>
        <v>10.662185026666668</v>
      </c>
      <c r="F163" s="66"/>
      <c r="G163" s="65"/>
    </row>
    <row r="164" spans="1:7" ht="12.75">
      <c r="A164" s="59">
        <v>21</v>
      </c>
      <c r="C164" s="67">
        <f t="shared" si="7"/>
        <v>10.662185026666668</v>
      </c>
      <c r="E164" s="63">
        <f t="shared" si="6"/>
        <v>10.662185026666668</v>
      </c>
      <c r="F164" s="66"/>
      <c r="G164" s="65"/>
    </row>
    <row r="165" spans="1:7" ht="12.75">
      <c r="A165" s="59">
        <v>22</v>
      </c>
      <c r="C165" s="67">
        <f t="shared" si="7"/>
        <v>10.662185026666668</v>
      </c>
      <c r="E165" s="63">
        <f t="shared" si="6"/>
        <v>10.662185026666668</v>
      </c>
      <c r="F165" s="66"/>
      <c r="G165" s="65"/>
    </row>
    <row r="166" spans="1:7" ht="12.75">
      <c r="A166" s="59">
        <v>23</v>
      </c>
      <c r="C166" s="67">
        <f t="shared" si="7"/>
        <v>10.662185026666668</v>
      </c>
      <c r="E166" s="63">
        <f t="shared" si="6"/>
        <v>10.662185026666668</v>
      </c>
      <c r="F166" s="66"/>
      <c r="G166" s="65"/>
    </row>
    <row r="167" spans="1:7" ht="12.75">
      <c r="A167" s="59">
        <v>24</v>
      </c>
      <c r="C167" s="67">
        <f t="shared" si="7"/>
        <v>10.662185026666668</v>
      </c>
      <c r="E167" s="63">
        <f t="shared" si="6"/>
        <v>10.662185026666668</v>
      </c>
      <c r="F167" s="66"/>
      <c r="G167" s="65"/>
    </row>
    <row r="168" spans="1:7" ht="12.75">
      <c r="A168" s="59">
        <v>25</v>
      </c>
      <c r="C168" s="67">
        <f t="shared" si="7"/>
        <v>10.662185026666668</v>
      </c>
      <c r="E168" s="63">
        <f t="shared" si="6"/>
        <v>10.662185026666668</v>
      </c>
      <c r="F168" s="66"/>
      <c r="G168" s="65"/>
    </row>
    <row r="169" spans="1:7" ht="12.75">
      <c r="A169" s="59">
        <v>26</v>
      </c>
      <c r="C169" s="67">
        <f t="shared" si="7"/>
        <v>10.662185026666668</v>
      </c>
      <c r="E169" s="63">
        <f t="shared" si="6"/>
        <v>10.662185026666668</v>
      </c>
      <c r="F169" s="66"/>
      <c r="G169" s="65"/>
    </row>
    <row r="170" spans="1:7" ht="12.75">
      <c r="A170" s="59">
        <v>27</v>
      </c>
      <c r="C170" s="67">
        <f t="shared" si="7"/>
        <v>10.662185026666668</v>
      </c>
      <c r="E170" s="63">
        <f t="shared" si="6"/>
        <v>10.662185026666668</v>
      </c>
      <c r="F170" s="66"/>
      <c r="G170" s="65"/>
    </row>
    <row r="171" spans="1:7" ht="12.75">
      <c r="A171" s="59">
        <v>28</v>
      </c>
      <c r="C171" s="67">
        <f t="shared" si="7"/>
        <v>10.662185026666668</v>
      </c>
      <c r="E171" s="63">
        <f t="shared" si="6"/>
        <v>10.662185026666668</v>
      </c>
      <c r="F171" s="66"/>
      <c r="G171" s="65"/>
    </row>
    <row r="172" spans="1:7" ht="12.75">
      <c r="A172" s="59">
        <v>29</v>
      </c>
      <c r="C172" s="67">
        <f t="shared" si="7"/>
        <v>10.662185026666668</v>
      </c>
      <c r="E172" s="63">
        <f t="shared" si="6"/>
        <v>10.662185026666668</v>
      </c>
      <c r="F172" s="66"/>
      <c r="G172" s="65"/>
    </row>
    <row r="173" spans="1:7" ht="12.75">
      <c r="A173" s="59">
        <v>30</v>
      </c>
      <c r="C173" s="67">
        <f t="shared" si="7"/>
        <v>10.662185026666668</v>
      </c>
      <c r="E173" s="63">
        <f t="shared" si="6"/>
        <v>10.662185026666668</v>
      </c>
      <c r="F173" s="66"/>
      <c r="G173" s="65"/>
    </row>
    <row r="174" spans="1:7" ht="12.75">
      <c r="A174" s="59">
        <v>31</v>
      </c>
      <c r="C174" s="67">
        <f t="shared" si="7"/>
        <v>10.662185026666668</v>
      </c>
      <c r="E174" s="63">
        <f t="shared" si="6"/>
        <v>10.662185026666668</v>
      </c>
      <c r="F174" s="66"/>
      <c r="G174" s="65"/>
    </row>
    <row r="175" spans="1:7" ht="12.75">
      <c r="A175" s="59">
        <v>32</v>
      </c>
      <c r="C175" s="67">
        <f t="shared" si="7"/>
        <v>10.662185026666668</v>
      </c>
      <c r="E175" s="63">
        <f t="shared" si="6"/>
        <v>10.662185026666668</v>
      </c>
      <c r="F175" s="66"/>
      <c r="G175" s="65"/>
    </row>
    <row r="176" spans="1:7" ht="12.75">
      <c r="A176" s="59">
        <v>33</v>
      </c>
      <c r="C176" s="67">
        <f t="shared" si="7"/>
        <v>10.662185026666668</v>
      </c>
      <c r="E176" s="63">
        <f t="shared" si="6"/>
        <v>10.662185026666668</v>
      </c>
      <c r="F176" s="66"/>
      <c r="G176" s="65"/>
    </row>
    <row r="177" spans="1:7" ht="12.75">
      <c r="A177" s="59">
        <v>34</v>
      </c>
      <c r="C177" s="67">
        <f t="shared" si="7"/>
        <v>10.662185026666668</v>
      </c>
      <c r="E177" s="63">
        <f t="shared" si="6"/>
        <v>10.662185026666668</v>
      </c>
      <c r="F177" s="66"/>
      <c r="G177" s="65"/>
    </row>
    <row r="178" spans="1:7" ht="12.75">
      <c r="A178" s="59">
        <v>35</v>
      </c>
      <c r="C178" s="67">
        <f t="shared" si="7"/>
        <v>10.662185026666668</v>
      </c>
      <c r="E178" s="63">
        <f t="shared" si="6"/>
        <v>10.662185026666668</v>
      </c>
      <c r="F178" s="66"/>
      <c r="G178" s="65"/>
    </row>
    <row r="179" spans="1:7" ht="12.75">
      <c r="A179" s="59">
        <v>36</v>
      </c>
      <c r="C179" s="67">
        <f t="shared" si="7"/>
        <v>10.662185026666668</v>
      </c>
      <c r="E179" s="63">
        <f t="shared" si="6"/>
        <v>10.662185026666668</v>
      </c>
      <c r="F179" s="66"/>
      <c r="G179" s="65"/>
    </row>
    <row r="180" spans="1:7" ht="12.75">
      <c r="A180" s="59">
        <v>37</v>
      </c>
      <c r="C180" s="67">
        <f t="shared" si="7"/>
        <v>10.662185026666668</v>
      </c>
      <c r="E180" s="63">
        <f t="shared" si="6"/>
        <v>10.662185026666668</v>
      </c>
      <c r="F180" s="66"/>
      <c r="G180" s="65"/>
    </row>
    <row r="181" spans="1:7" ht="12.75">
      <c r="A181" s="59">
        <v>38</v>
      </c>
      <c r="C181" s="67">
        <f t="shared" si="7"/>
        <v>10.662185026666668</v>
      </c>
      <c r="E181" s="63">
        <f t="shared" si="6"/>
        <v>10.662185026666668</v>
      </c>
      <c r="F181" s="66"/>
      <c r="G181" s="65"/>
    </row>
    <row r="182" spans="1:7" ht="12.75">
      <c r="A182" s="59">
        <v>39</v>
      </c>
      <c r="C182" s="67">
        <f t="shared" si="7"/>
        <v>10.662185026666668</v>
      </c>
      <c r="E182" s="63">
        <f t="shared" si="6"/>
        <v>10.662185026666668</v>
      </c>
      <c r="F182" s="66"/>
      <c r="G182" s="65"/>
    </row>
    <row r="183" spans="1:7" ht="12.75">
      <c r="A183" s="59">
        <v>40</v>
      </c>
      <c r="C183" s="67">
        <f t="shared" si="7"/>
        <v>10.662185026666668</v>
      </c>
      <c r="E183" s="63">
        <f t="shared" si="6"/>
        <v>10.662185026666668</v>
      </c>
      <c r="F183" s="66"/>
      <c r="G183" s="65"/>
    </row>
    <row r="184" spans="1:7" ht="12.75">
      <c r="A184" s="59">
        <v>41</v>
      </c>
      <c r="C184" s="67">
        <f t="shared" si="7"/>
        <v>10.662185026666668</v>
      </c>
      <c r="E184" s="63">
        <f t="shared" si="6"/>
        <v>10.662185026666668</v>
      </c>
      <c r="F184" s="66"/>
      <c r="G184" s="65"/>
    </row>
    <row r="185" spans="1:7" ht="12.75">
      <c r="A185" s="59">
        <v>42</v>
      </c>
      <c r="C185" s="67">
        <f t="shared" si="7"/>
        <v>10.662185026666668</v>
      </c>
      <c r="E185" s="63">
        <f t="shared" si="6"/>
        <v>10.662185026666668</v>
      </c>
      <c r="F185" s="66"/>
      <c r="G185" s="65"/>
    </row>
    <row r="186" spans="1:7" ht="12.75">
      <c r="A186" s="59">
        <v>43</v>
      </c>
      <c r="C186" s="67">
        <f t="shared" si="7"/>
        <v>10.662185026666668</v>
      </c>
      <c r="E186" s="63">
        <f t="shared" si="6"/>
        <v>10.662185026666668</v>
      </c>
      <c r="F186" s="66"/>
      <c r="G186" s="65"/>
    </row>
    <row r="187" spans="1:7" ht="12.75">
      <c r="A187" s="59">
        <v>44</v>
      </c>
      <c r="C187" s="67">
        <f t="shared" si="7"/>
        <v>10.662185026666668</v>
      </c>
      <c r="E187" s="63">
        <f t="shared" si="6"/>
        <v>10.662185026666668</v>
      </c>
      <c r="F187" s="66"/>
      <c r="G187" s="65"/>
    </row>
    <row r="188" spans="1:7" ht="12.75">
      <c r="A188" s="59">
        <v>45</v>
      </c>
      <c r="C188" s="67">
        <f t="shared" si="7"/>
        <v>10.662185026666668</v>
      </c>
      <c r="E188" s="63">
        <f t="shared" si="6"/>
        <v>10.662185026666668</v>
      </c>
      <c r="F188" s="66"/>
      <c r="G188" s="65"/>
    </row>
    <row r="189" spans="1:7" ht="12.75">
      <c r="A189" s="59">
        <v>46</v>
      </c>
      <c r="C189" s="67">
        <f t="shared" si="7"/>
        <v>10.662185026666668</v>
      </c>
      <c r="E189" s="63">
        <f t="shared" si="6"/>
        <v>10.662185026666668</v>
      </c>
      <c r="F189" s="66"/>
      <c r="G189" s="65"/>
    </row>
    <row r="190" spans="1:7" ht="12.75">
      <c r="A190" s="59">
        <v>47</v>
      </c>
      <c r="C190" s="67">
        <f t="shared" si="7"/>
        <v>10.662185026666668</v>
      </c>
      <c r="E190" s="63">
        <f t="shared" si="6"/>
        <v>10.662185026666668</v>
      </c>
      <c r="F190" s="66"/>
      <c r="G190" s="65"/>
    </row>
    <row r="191" spans="1:7" ht="12.75">
      <c r="A191" s="59">
        <v>48</v>
      </c>
      <c r="C191" s="67">
        <f t="shared" si="7"/>
        <v>10.662185026666668</v>
      </c>
      <c r="E191" s="63">
        <f t="shared" si="6"/>
        <v>10.662185026666668</v>
      </c>
      <c r="F191" s="66"/>
      <c r="G191" s="65"/>
    </row>
    <row r="192" spans="1:7" ht="12.75">
      <c r="A192" s="59">
        <v>49</v>
      </c>
      <c r="C192" s="67">
        <f t="shared" si="7"/>
        <v>10.662185026666668</v>
      </c>
      <c r="E192" s="63">
        <f t="shared" si="6"/>
        <v>10.662185026666668</v>
      </c>
      <c r="F192" s="66"/>
      <c r="G192" s="65"/>
    </row>
    <row r="193" spans="1:7" ht="12.75">
      <c r="A193" s="59">
        <v>50</v>
      </c>
      <c r="C193" s="67">
        <f t="shared" si="7"/>
        <v>10.662185026666668</v>
      </c>
      <c r="E193" s="63">
        <f t="shared" si="6"/>
        <v>10.662185026666668</v>
      </c>
      <c r="F193" s="66"/>
      <c r="G193" s="65"/>
    </row>
    <row r="194" spans="1:7" ht="12.75">
      <c r="A194" s="59">
        <v>51</v>
      </c>
      <c r="C194" s="67">
        <f t="shared" si="7"/>
        <v>10.662185026666668</v>
      </c>
      <c r="E194" s="63">
        <f t="shared" si="6"/>
        <v>10.662185026666668</v>
      </c>
      <c r="F194" s="66"/>
      <c r="G194" s="65"/>
    </row>
    <row r="195" spans="1:7" ht="12.75">
      <c r="A195" s="59">
        <v>52</v>
      </c>
      <c r="C195" s="67">
        <f t="shared" si="7"/>
        <v>10.662185026666668</v>
      </c>
      <c r="E195" s="63">
        <f t="shared" si="6"/>
        <v>10.662185026666668</v>
      </c>
      <c r="F195" s="66"/>
      <c r="G195" s="65"/>
    </row>
    <row r="196" spans="1:7" ht="12.75">
      <c r="A196" s="59">
        <v>53</v>
      </c>
      <c r="C196" s="67">
        <f t="shared" si="7"/>
        <v>10.662185026666668</v>
      </c>
      <c r="E196" s="63">
        <f t="shared" si="6"/>
        <v>10.662185026666668</v>
      </c>
      <c r="F196" s="66"/>
      <c r="G196" s="65"/>
    </row>
    <row r="197" spans="1:7" ht="12.75">
      <c r="A197" s="59">
        <v>54</v>
      </c>
      <c r="C197" s="67">
        <f t="shared" si="7"/>
        <v>10.662185026666668</v>
      </c>
      <c r="E197" s="63">
        <f t="shared" si="6"/>
        <v>10.662185026666668</v>
      </c>
      <c r="F197" s="66"/>
      <c r="G197" s="65"/>
    </row>
    <row r="198" spans="1:7" ht="12.75">
      <c r="A198" s="59">
        <v>55</v>
      </c>
      <c r="C198" s="67">
        <f t="shared" si="7"/>
        <v>10.662185026666668</v>
      </c>
      <c r="E198" s="63">
        <f t="shared" si="6"/>
        <v>10.662185026666668</v>
      </c>
      <c r="F198" s="66"/>
      <c r="G198" s="65"/>
    </row>
    <row r="199" spans="1:7" ht="12.75">
      <c r="A199" s="59">
        <v>56</v>
      </c>
      <c r="C199" s="67">
        <f t="shared" si="7"/>
        <v>10.662185026666668</v>
      </c>
      <c r="E199" s="63">
        <f t="shared" si="6"/>
        <v>10.662185026666668</v>
      </c>
      <c r="F199" s="66"/>
      <c r="G199" s="65"/>
    </row>
    <row r="200" spans="1:7" ht="12.75">
      <c r="A200" s="59">
        <v>57</v>
      </c>
      <c r="C200" s="67">
        <f t="shared" si="7"/>
        <v>10.662185026666668</v>
      </c>
      <c r="E200" s="63">
        <f t="shared" si="6"/>
        <v>10.662185026666668</v>
      </c>
      <c r="F200" s="66"/>
      <c r="G200" s="65"/>
    </row>
    <row r="201" spans="1:7" ht="12.75">
      <c r="A201" s="59">
        <v>58</v>
      </c>
      <c r="C201" s="67">
        <f t="shared" si="7"/>
        <v>10.662185026666668</v>
      </c>
      <c r="E201" s="63">
        <f t="shared" si="6"/>
        <v>10.662185026666668</v>
      </c>
      <c r="F201" s="66"/>
      <c r="G201" s="65"/>
    </row>
    <row r="202" spans="1:7" ht="12.75">
      <c r="A202" s="59">
        <v>59</v>
      </c>
      <c r="C202" s="67">
        <f t="shared" si="7"/>
        <v>10.662185026666668</v>
      </c>
      <c r="E202" s="63">
        <f t="shared" si="6"/>
        <v>10.662185026666668</v>
      </c>
      <c r="F202" s="66"/>
      <c r="G202" s="65"/>
    </row>
    <row r="203" spans="1:7" ht="12.75">
      <c r="A203" s="59">
        <v>60</v>
      </c>
      <c r="C203" s="67">
        <f t="shared" si="7"/>
        <v>10.662185026666668</v>
      </c>
      <c r="E203" s="63">
        <f t="shared" si="6"/>
        <v>10.662185026666668</v>
      </c>
      <c r="F203" s="66"/>
      <c r="G203" s="65"/>
    </row>
    <row r="204" spans="1:7" ht="12.75">
      <c r="A204" s="59">
        <v>61</v>
      </c>
      <c r="C204" s="67">
        <f t="shared" si="7"/>
        <v>10.662185026666668</v>
      </c>
      <c r="E204" s="63">
        <f t="shared" si="6"/>
        <v>10.662185026666668</v>
      </c>
      <c r="F204" s="66"/>
      <c r="G204" s="65"/>
    </row>
    <row r="205" spans="1:7" ht="12.75">
      <c r="A205" s="59">
        <v>62</v>
      </c>
      <c r="C205" s="67">
        <f t="shared" si="7"/>
        <v>10.662185026666668</v>
      </c>
      <c r="E205" s="63">
        <f t="shared" si="6"/>
        <v>10.662185026666668</v>
      </c>
      <c r="F205" s="66"/>
      <c r="G205" s="65"/>
    </row>
    <row r="206" spans="1:7" ht="12.75">
      <c r="A206" s="59">
        <v>63</v>
      </c>
      <c r="C206" s="67">
        <f t="shared" si="7"/>
        <v>10.662185026666668</v>
      </c>
      <c r="E206" s="63">
        <f t="shared" si="6"/>
        <v>10.662185026666668</v>
      </c>
      <c r="F206" s="66"/>
      <c r="G206" s="65"/>
    </row>
    <row r="207" spans="1:7" ht="12.75">
      <c r="A207" s="59">
        <v>64</v>
      </c>
      <c r="C207" s="67">
        <f t="shared" si="7"/>
        <v>10.662185026666668</v>
      </c>
      <c r="E207" s="63">
        <f t="shared" si="6"/>
        <v>10.662185026666668</v>
      </c>
      <c r="F207" s="66"/>
      <c r="G207" s="65"/>
    </row>
    <row r="208" spans="1:7" ht="12.75">
      <c r="A208" s="59">
        <v>65</v>
      </c>
      <c r="C208" s="67">
        <f t="shared" si="7"/>
        <v>10.662185026666668</v>
      </c>
      <c r="E208" s="63">
        <f t="shared" si="6"/>
        <v>10.662185026666668</v>
      </c>
      <c r="F208" s="66"/>
      <c r="G208" s="65"/>
    </row>
    <row r="209" spans="1:7" ht="12.75">
      <c r="A209" s="59">
        <v>66</v>
      </c>
      <c r="C209" s="67">
        <f t="shared" si="7"/>
        <v>10.662185026666668</v>
      </c>
      <c r="E209" s="63">
        <f t="shared" si="6"/>
        <v>10.662185026666668</v>
      </c>
      <c r="F209" s="66"/>
      <c r="G209" s="65"/>
    </row>
    <row r="210" spans="1:7" ht="12.75">
      <c r="A210" s="59">
        <v>67</v>
      </c>
      <c r="C210" s="67">
        <f t="shared" si="7"/>
        <v>10.662185026666668</v>
      </c>
      <c r="E210" s="63">
        <f t="shared" si="6"/>
        <v>10.662185026666668</v>
      </c>
      <c r="F210" s="66"/>
      <c r="G210" s="65"/>
    </row>
    <row r="211" spans="1:7" ht="12.75">
      <c r="A211" s="59">
        <v>68</v>
      </c>
      <c r="C211" s="67">
        <f t="shared" si="7"/>
        <v>10.662185026666668</v>
      </c>
      <c r="E211" s="63">
        <f t="shared" si="6"/>
        <v>10.662185026666668</v>
      </c>
      <c r="F211" s="66"/>
      <c r="G211" s="65"/>
    </row>
    <row r="212" spans="1:7" ht="12.75">
      <c r="A212" s="59">
        <v>69</v>
      </c>
      <c r="C212" s="67">
        <f t="shared" si="7"/>
        <v>10.662185026666668</v>
      </c>
      <c r="E212" s="63">
        <f aca="true" t="shared" si="8" ref="E212:E221">C212</f>
        <v>10.662185026666668</v>
      </c>
      <c r="F212" s="66"/>
      <c r="G212" s="65"/>
    </row>
    <row r="213" spans="1:7" ht="12.75">
      <c r="A213" s="59">
        <v>70</v>
      </c>
      <c r="C213" s="67">
        <f t="shared" si="7"/>
        <v>10.662185026666668</v>
      </c>
      <c r="E213" s="63">
        <f t="shared" si="8"/>
        <v>10.662185026666668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10.662185026666668</v>
      </c>
      <c r="E214" s="63">
        <f t="shared" si="8"/>
        <v>10.662185026666668</v>
      </c>
      <c r="F214" s="66"/>
      <c r="G214" s="65"/>
    </row>
    <row r="215" spans="1:7" ht="12.75">
      <c r="A215" s="59">
        <v>72</v>
      </c>
      <c r="C215" s="67">
        <f t="shared" si="9"/>
        <v>10.662185026666668</v>
      </c>
      <c r="E215" s="63">
        <f t="shared" si="8"/>
        <v>10.662185026666668</v>
      </c>
      <c r="F215" s="66"/>
      <c r="G215" s="65"/>
    </row>
    <row r="216" spans="1:7" ht="12.75">
      <c r="A216" s="59">
        <v>73</v>
      </c>
      <c r="C216" s="67">
        <f t="shared" si="9"/>
        <v>10.662185026666668</v>
      </c>
      <c r="E216" s="63">
        <f t="shared" si="8"/>
        <v>10.662185026666668</v>
      </c>
      <c r="F216" s="66"/>
      <c r="G216" s="65"/>
    </row>
    <row r="217" spans="1:7" ht="12.75">
      <c r="A217" s="59">
        <v>74</v>
      </c>
      <c r="C217" s="67">
        <f t="shared" si="9"/>
        <v>10.662185026666668</v>
      </c>
      <c r="E217" s="63">
        <f t="shared" si="8"/>
        <v>10.662185026666668</v>
      </c>
      <c r="F217" s="66"/>
      <c r="G217" s="65"/>
    </row>
    <row r="218" spans="1:7" ht="12.75">
      <c r="A218" s="59">
        <v>75</v>
      </c>
      <c r="C218" s="67">
        <f t="shared" si="9"/>
        <v>10.662185026666668</v>
      </c>
      <c r="E218" s="63">
        <f t="shared" si="8"/>
        <v>10.662185026666668</v>
      </c>
      <c r="F218" s="66"/>
      <c r="G218" s="65"/>
    </row>
    <row r="219" spans="1:7" ht="12.75">
      <c r="A219" s="59">
        <v>76</v>
      </c>
      <c r="C219" s="67">
        <f t="shared" si="9"/>
        <v>10.662185026666668</v>
      </c>
      <c r="E219" s="63">
        <f t="shared" si="8"/>
        <v>10.662185026666668</v>
      </c>
      <c r="F219" s="66"/>
      <c r="G219" s="65"/>
    </row>
    <row r="220" spans="1:7" ht="12.75">
      <c r="A220" s="59">
        <v>77</v>
      </c>
      <c r="C220" s="67">
        <f t="shared" si="9"/>
        <v>10.662185026666668</v>
      </c>
      <c r="E220" s="63">
        <f t="shared" si="8"/>
        <v>10.662185026666668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10.662185026666668</v>
      </c>
      <c r="D221" s="142"/>
      <c r="E221" s="140">
        <f t="shared" si="8"/>
        <v>10.662185026666668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221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26.95</v>
      </c>
      <c r="C4" s="2">
        <f>Param!C41</f>
        <v>1.1</v>
      </c>
      <c r="D4" s="2">
        <f aca="true" t="shared" si="0" ref="D4:D9">B4*C4</f>
        <v>29.645000000000003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55.76</v>
      </c>
      <c r="C5" s="2">
        <f>Param!C44</f>
        <v>0.01</v>
      </c>
      <c r="D5" s="2">
        <f t="shared" si="0"/>
        <v>0.5576</v>
      </c>
      <c r="F5" s="42" t="s">
        <v>113</v>
      </c>
      <c r="G5" s="106">
        <f>Param!$C$9</f>
        <v>22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F6" s="74" t="s">
        <v>105</v>
      </c>
      <c r="G6" s="29">
        <f>Param!C12</f>
        <v>26.95</v>
      </c>
    </row>
    <row r="7" spans="1:8" ht="12.75">
      <c r="A7" s="2" t="s">
        <v>184</v>
      </c>
      <c r="B7" s="14">
        <f>G6</f>
        <v>26.95</v>
      </c>
      <c r="C7" s="2">
        <f>Param!$C$45</f>
        <v>0.13</v>
      </c>
      <c r="D7" s="2">
        <f t="shared" si="0"/>
        <v>3.5035</v>
      </c>
      <c r="F7" s="45" t="s">
        <v>153</v>
      </c>
      <c r="G7" s="29">
        <f>Param!C18</f>
        <v>4.5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F8" s="43" t="s">
        <v>154</v>
      </c>
      <c r="G8" s="29">
        <f>Param!C18*(1+Param!B19)</f>
        <v>6.3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F9" s="51" t="s">
        <v>70</v>
      </c>
      <c r="G9" s="130">
        <f>Param!$C$15</f>
        <v>11250</v>
      </c>
    </row>
    <row r="10" spans="1:7" ht="12.75">
      <c r="A10" s="15" t="s">
        <v>90</v>
      </c>
      <c r="B10" s="103"/>
      <c r="C10" s="102"/>
      <c r="D10" s="15">
        <f>SUM(D4:D9)</f>
        <v>44.43710000000001</v>
      </c>
      <c r="F10" s="51" t="s">
        <v>171</v>
      </c>
      <c r="G10" s="131">
        <f>G9*365</f>
        <v>4106250</v>
      </c>
    </row>
    <row r="11" spans="2:7" ht="12.75">
      <c r="B11" s="11"/>
      <c r="F11" s="51" t="s">
        <v>375</v>
      </c>
      <c r="G11" s="131">
        <f>G7*G10</f>
        <v>18478125</v>
      </c>
    </row>
    <row r="12" spans="1:7" ht="12.75">
      <c r="A12" s="2" t="s">
        <v>93</v>
      </c>
      <c r="B12" s="10">
        <f>$G$5*Param!$C$46</f>
        <v>22</v>
      </c>
      <c r="C12" s="2">
        <f>Param!E46</f>
        <v>0.2</v>
      </c>
      <c r="D12" s="2">
        <f>B12*C12</f>
        <v>4.4</v>
      </c>
      <c r="F12" s="51" t="s">
        <v>376</v>
      </c>
      <c r="G12" s="131">
        <f>G8*G10</f>
        <v>25869375</v>
      </c>
    </row>
    <row r="13" spans="1:7" ht="13.5" thickBot="1">
      <c r="A13" s="4" t="s">
        <v>72</v>
      </c>
      <c r="B13" s="4">
        <f>$G$5*Param!$C$47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2250</v>
      </c>
    </row>
    <row r="14" spans="1:7" ht="12.75">
      <c r="A14" s="104" t="s">
        <v>110</v>
      </c>
      <c r="B14" s="101"/>
      <c r="C14" s="100"/>
      <c r="D14" s="104">
        <f>SUM(D12:D13)</f>
        <v>4.4</v>
      </c>
      <c r="E14" s="6"/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48.83710000000001</v>
      </c>
      <c r="F16" s="45" t="s">
        <v>178</v>
      </c>
      <c r="G16" s="260">
        <f>Param!C31</f>
        <v>2.475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0.5185185185185185</v>
      </c>
      <c r="D18" s="18">
        <f>C18+B18</f>
        <v>3.5185185185185186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52.355618518518526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22</v>
      </c>
      <c r="C23" s="2">
        <f>Param!C53</f>
        <v>0.1</v>
      </c>
      <c r="D23" s="2">
        <f>B23*C23</f>
        <v>2.2</v>
      </c>
    </row>
    <row r="24" spans="1:4" ht="12.75">
      <c r="A24" s="2" t="s">
        <v>6</v>
      </c>
      <c r="B24" s="11">
        <f>B12+B13</f>
        <v>22</v>
      </c>
      <c r="C24" s="2">
        <f>Param!C51</f>
        <v>0.005</v>
      </c>
      <c r="D24" s="2">
        <f>B24*C24</f>
        <v>0.11</v>
      </c>
    </row>
    <row r="25" spans="1:5" ht="13.5" thickBot="1">
      <c r="A25" s="4" t="s">
        <v>16</v>
      </c>
      <c r="B25" s="123">
        <f>$G$5</f>
        <v>22</v>
      </c>
      <c r="C25" s="26">
        <f>Param!C54</f>
        <v>0.01</v>
      </c>
      <c r="D25" s="4">
        <f>B25*C25+Param!C52</f>
        <v>1.22</v>
      </c>
      <c r="E25" s="1"/>
    </row>
    <row r="26" spans="1:5" ht="12.75">
      <c r="A26" s="15" t="s">
        <v>91</v>
      </c>
      <c r="B26" s="16"/>
      <c r="C26" s="17"/>
      <c r="D26" s="15">
        <f>SUM(D22:D25)</f>
        <v>3.58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55.935618518518524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259.25925925925924</v>
      </c>
      <c r="C30" s="17">
        <f>Param!$C$58</f>
        <v>0.025</v>
      </c>
      <c r="D30" s="15">
        <f>B30*C30</f>
        <v>6.481481481481481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62.417100000000005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3.1208550000000006</v>
      </c>
      <c r="D34" s="88">
        <f>B34+C34</f>
        <v>8.120855</v>
      </c>
    </row>
    <row r="35" spans="1:4" ht="13.5" thickBot="1">
      <c r="A35" s="4" t="s">
        <v>98</v>
      </c>
      <c r="B35" s="4">
        <f>Param!B61</f>
        <v>0</v>
      </c>
      <c r="C35" s="4">
        <f>Param!C61*D32</f>
        <v>3.1208550000000006</v>
      </c>
      <c r="D35" s="4">
        <f>B35+C35</f>
        <v>3.1208550000000006</v>
      </c>
    </row>
    <row r="36" spans="1:5" ht="12.75">
      <c r="A36" s="15" t="s">
        <v>188</v>
      </c>
      <c r="B36" s="16"/>
      <c r="C36" s="17"/>
      <c r="D36" s="15">
        <f>SUM(D34:D35)</f>
        <v>11.241710000000001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73.65881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4.4</v>
      </c>
      <c r="C40" s="2">
        <f>(Param!G49+Param!G50)</f>
        <v>7</v>
      </c>
      <c r="D40" s="84">
        <f>(B40+C40)*Param!H51</f>
        <v>0.7980000000000002</v>
      </c>
    </row>
    <row r="41" spans="1:4" ht="12.75">
      <c r="A41" s="2" t="s">
        <v>8</v>
      </c>
      <c r="B41" s="14">
        <f>G5</f>
        <v>22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25869375</v>
      </c>
      <c r="C42" s="12">
        <f>Param!H38*Param!H39</f>
        <v>0.01125</v>
      </c>
      <c r="D42" s="84">
        <f>(B42*C42)/1000000</f>
        <v>0.29103046875</v>
      </c>
    </row>
    <row r="43" spans="1:4" ht="12.75">
      <c r="A43" s="2" t="s">
        <v>191</v>
      </c>
      <c r="B43" s="35">
        <f>G12</f>
        <v>25869375</v>
      </c>
      <c r="C43" s="12">
        <f>Param!H38*Param!H40</f>
        <v>0.0075</v>
      </c>
      <c r="D43" s="84">
        <f>(B43*C43)/1000000</f>
        <v>0.1940203125</v>
      </c>
    </row>
    <row r="44" spans="1:5" ht="12.75">
      <c r="A44" s="2" t="s">
        <v>118</v>
      </c>
      <c r="B44" s="35">
        <f>G12</f>
        <v>25869375</v>
      </c>
      <c r="C44" s="86">
        <f>Param!G43</f>
        <v>0.001</v>
      </c>
      <c r="D44" s="84">
        <f>B44*C44/1000000</f>
        <v>0.025869375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1.248342</v>
      </c>
      <c r="D45" s="84">
        <f>B45*C45</f>
        <v>0.02496684</v>
      </c>
    </row>
    <row r="46" spans="1:4" ht="12.75">
      <c r="A46" s="2" t="s">
        <v>195</v>
      </c>
      <c r="B46" s="2">
        <f>SUM(D22:D25)</f>
        <v>3.58</v>
      </c>
      <c r="C46" s="12">
        <f>Param!G45</f>
        <v>0.02</v>
      </c>
      <c r="D46" s="84">
        <f>B46*C46</f>
        <v>0.0716</v>
      </c>
    </row>
    <row r="47" spans="1:4" ht="13.5" thickBot="1">
      <c r="A47" s="4" t="s">
        <v>227</v>
      </c>
      <c r="B47" s="123">
        <f>B30</f>
        <v>259.25925925925924</v>
      </c>
      <c r="C47" s="26">
        <f>Param!H46</f>
        <v>0.0002</v>
      </c>
      <c r="D47" s="143">
        <f>B47*C47</f>
        <v>0.05185185185185185</v>
      </c>
    </row>
    <row r="48" spans="1:5" ht="12.75">
      <c r="A48" s="15" t="s">
        <v>23</v>
      </c>
      <c r="B48" s="17"/>
      <c r="C48" s="17"/>
      <c r="D48" s="15">
        <f>SUM(D39:D46)</f>
        <v>1.40548699625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0.04106388157894738</v>
      </c>
      <c r="E50" s="10">
        <f t="shared" si="1"/>
        <v>0</v>
      </c>
      <c r="F50" s="44">
        <f>-D57*B57</f>
        <v>11.241710000000001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0.10685335526315791</v>
      </c>
      <c r="E51" s="10">
        <f t="shared" si="1"/>
        <v>0</v>
      </c>
      <c r="F51" s="44">
        <f>-D58*B58</f>
        <v>0.7758586150399325</v>
      </c>
      <c r="G51" s="44">
        <f>F51</f>
        <v>0.7758586150399325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0.7359949805068227</v>
      </c>
      <c r="E52" s="10">
        <f t="shared" si="1"/>
        <v>0</v>
      </c>
      <c r="F52" s="44">
        <f>-D59*B59</f>
        <v>7.037291308869511</v>
      </c>
      <c r="G52" s="2">
        <f>F52</f>
        <v>7.037291308869511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0.24928774928774927</v>
      </c>
      <c r="E53" s="10">
        <f t="shared" si="1"/>
        <v>0</v>
      </c>
      <c r="F53" s="44">
        <f>-D60*B60</f>
        <v>3.296950335492016</v>
      </c>
      <c r="G53" s="2">
        <f>F53*2</f>
        <v>6.593900670984032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0.4654</v>
      </c>
      <c r="E54" s="10">
        <f t="shared" si="1"/>
        <v>0</v>
      </c>
      <c r="F54" s="44">
        <f>-D61*B61</f>
        <v>2.627451310906044</v>
      </c>
      <c r="G54" s="5">
        <f>F54*6</f>
        <v>15.764707865436263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1.450682729794572</v>
      </c>
      <c r="E55" s="10">
        <f t="shared" si="1"/>
        <v>0</v>
      </c>
      <c r="F55" s="44">
        <f>SUM(F51:F54)</f>
        <v>13.737551570307502</v>
      </c>
      <c r="G55" s="1">
        <f>SUM(G51:G54)</f>
        <v>30.17175846032974</v>
      </c>
      <c r="H55" s="1">
        <f>I66*20</f>
        <v>77.83794001099629</v>
      </c>
      <c r="I55" s="1">
        <f>I75*10</f>
        <v>98.24526787586576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0.14791723684210528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0.010208665987367532</v>
      </c>
      <c r="E58" s="2">
        <f>D36</f>
        <v>11.241710000000001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0.09259593827459883</v>
      </c>
      <c r="E59" s="2">
        <f>D32</f>
        <v>62.417100000000005</v>
      </c>
      <c r="F59" s="164" t="s">
        <v>28</v>
      </c>
      <c r="G59" s="165">
        <f>$D$67</f>
        <v>1.38348699625</v>
      </c>
      <c r="H59" s="166">
        <f>$G$12</f>
        <v>25869375</v>
      </c>
      <c r="I59" s="167">
        <f>(G59/H59)*1000000</f>
        <v>0.0534797225000604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0.12680578213430832</v>
      </c>
      <c r="E60" s="2">
        <f>D30</f>
        <v>6.481481481481481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0.2021116393004649</v>
      </c>
      <c r="E61" s="5">
        <f>D26</f>
        <v>3.58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0.4215133597093721</v>
      </c>
      <c r="E62" s="30">
        <f>SUM(E58:E61)</f>
        <v>83.72029148148148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1.872196089503944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2.6306717857142856</v>
      </c>
    </row>
    <row r="65" spans="1:9" ht="12.75">
      <c r="A65" s="24" t="s">
        <v>291</v>
      </c>
      <c r="B65" s="30"/>
      <c r="C65" s="30"/>
      <c r="D65" s="85">
        <f>D48+D64</f>
        <v>3.277683085753944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1.261225214835529</v>
      </c>
    </row>
    <row r="66" spans="1:9" ht="12.75">
      <c r="A66" s="24" t="s">
        <v>292</v>
      </c>
      <c r="B66" s="30"/>
      <c r="C66" s="30"/>
      <c r="D66" s="85">
        <f>D65-D80</f>
        <v>3.2556830857539443</v>
      </c>
      <c r="F66" s="161" t="s">
        <v>212</v>
      </c>
      <c r="G66" s="100"/>
      <c r="H66" s="100"/>
      <c r="I66" s="162">
        <f>SUM(I64:I65)</f>
        <v>3.8918970005498146</v>
      </c>
    </row>
    <row r="67" spans="1:9" ht="12.75">
      <c r="A67" s="24" t="s">
        <v>293</v>
      </c>
      <c r="B67" s="30"/>
      <c r="C67" s="30"/>
      <c r="D67" s="85">
        <f>D48-D80</f>
        <v>1.38348699625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5.275383996799815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5.275383996799815</v>
      </c>
      <c r="H69" s="166">
        <f>$G$12</f>
        <v>25869375</v>
      </c>
      <c r="I69" s="167">
        <f>(G69/H69)*1000000</f>
        <v>0.20392390603947</v>
      </c>
    </row>
    <row r="70" spans="1:9" ht="13.5" thickBot="1">
      <c r="A70" s="24" t="s">
        <v>71</v>
      </c>
      <c r="B70" s="124">
        <f>G10</f>
        <v>4106250</v>
      </c>
      <c r="C70" s="125">
        <f>G16</f>
        <v>2.475</v>
      </c>
      <c r="D70" s="47">
        <f>B70*C70*Param!$B$32/1000000</f>
        <v>10.16296875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10.16296875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5.666062307692308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4.158464479894268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9.824526787586576</v>
      </c>
    </row>
    <row r="76" spans="1:9" ht="12.75">
      <c r="A76" s="3" t="s">
        <v>11</v>
      </c>
      <c r="B76" s="11">
        <f>$G$5</f>
        <v>22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22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11.208013783836575</v>
      </c>
    </row>
    <row r="78" spans="1:9" ht="13.5" thickBot="1">
      <c r="A78" s="36" t="s">
        <v>29</v>
      </c>
      <c r="B78" s="107">
        <f>B12+B13</f>
        <v>22</v>
      </c>
      <c r="C78" s="36">
        <f>Param!$G$33</f>
        <v>0.001</v>
      </c>
      <c r="D78" s="36">
        <f>B78*C78</f>
        <v>0.022</v>
      </c>
      <c r="F78" s="164" t="s">
        <v>37</v>
      </c>
      <c r="G78" s="165">
        <f>I77</f>
        <v>11.208013783836575</v>
      </c>
      <c r="H78" s="166">
        <f>$G$12</f>
        <v>25869375</v>
      </c>
      <c r="I78" s="167">
        <f>(G78/H78)*1000000</f>
        <v>0.4332541386808369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0.022</v>
      </c>
      <c r="E80" s="30"/>
    </row>
    <row r="81" spans="1:5" ht="12.75">
      <c r="A81" s="94" t="s">
        <v>35</v>
      </c>
      <c r="B81" s="94"/>
      <c r="C81" s="94"/>
      <c r="D81" s="93">
        <f>$D$72+$D$80</f>
        <v>10.18496875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1.40548699625</v>
      </c>
    </row>
    <row r="84" spans="1:4" ht="16.5" thickBot="1">
      <c r="A84" s="54" t="s">
        <v>39</v>
      </c>
      <c r="B84" s="55"/>
      <c r="C84" s="55"/>
      <c r="D84" s="55">
        <f>D81-D83</f>
        <v>8.77948175375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11.241710000000001</v>
      </c>
      <c r="C89" s="59">
        <v>0</v>
      </c>
      <c r="D89" s="59"/>
      <c r="E89" s="63">
        <f>+B89*-1</f>
        <v>-11.241710000000001</v>
      </c>
      <c r="F89" s="64">
        <f>IRR(E89:E101,0.1)</f>
        <v>0.010731242939840568</v>
      </c>
      <c r="G89" s="81">
        <f>NPV(Param!$B$38,E89:E101)</f>
        <v>-14.260713805966528</v>
      </c>
    </row>
    <row r="90" spans="1:7" ht="12.75">
      <c r="A90" s="59">
        <v>2</v>
      </c>
      <c r="B90" s="62">
        <f>0.4*D32</f>
        <v>24.966840000000005</v>
      </c>
      <c r="C90" s="59">
        <v>0</v>
      </c>
      <c r="D90" s="59"/>
      <c r="E90" s="63">
        <f>+B90*-1</f>
        <v>-24.966840000000005</v>
      </c>
      <c r="F90" s="65"/>
      <c r="G90" s="65"/>
    </row>
    <row r="91" spans="1:7" ht="12.75">
      <c r="A91" s="59">
        <v>3</v>
      </c>
      <c r="B91" s="62">
        <f>0.6*D32</f>
        <v>37.45026</v>
      </c>
      <c r="C91" s="59">
        <v>0</v>
      </c>
      <c r="D91" s="59"/>
      <c r="E91" s="63">
        <f>+B91*-1</f>
        <v>-37.45026</v>
      </c>
      <c r="F91" s="66"/>
      <c r="G91" s="65"/>
    </row>
    <row r="92" spans="1:7" ht="12.75">
      <c r="A92" s="59">
        <v>4</v>
      </c>
      <c r="B92" s="59"/>
      <c r="C92" s="67">
        <f>$D$84*0.3</f>
        <v>2.633844526125</v>
      </c>
      <c r="D92" s="59"/>
      <c r="E92" s="63">
        <f aca="true" t="shared" si="2" ref="E92:E101">C92</f>
        <v>2.633844526125</v>
      </c>
      <c r="F92" s="65"/>
      <c r="G92" s="65"/>
    </row>
    <row r="93" spans="1:7" ht="12.75">
      <c r="A93" s="59">
        <v>5</v>
      </c>
      <c r="B93" s="59"/>
      <c r="C93" s="67">
        <f>$D$84*0.7</f>
        <v>6.1456372276249995</v>
      </c>
      <c r="D93" s="59"/>
      <c r="E93" s="63">
        <f t="shared" si="2"/>
        <v>6.1456372276249995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8.77948175375</v>
      </c>
      <c r="D94" s="59"/>
      <c r="E94" s="63">
        <f t="shared" si="2"/>
        <v>8.77948175375</v>
      </c>
      <c r="F94" s="66"/>
      <c r="G94" s="65"/>
    </row>
    <row r="95" spans="1:7" ht="12.75">
      <c r="A95" s="59">
        <v>7</v>
      </c>
      <c r="B95" s="59"/>
      <c r="C95" s="67">
        <f t="shared" si="3"/>
        <v>8.77948175375</v>
      </c>
      <c r="D95" s="59"/>
      <c r="E95" s="63">
        <f t="shared" si="2"/>
        <v>8.77948175375</v>
      </c>
      <c r="F95" s="66"/>
      <c r="G95" s="65"/>
    </row>
    <row r="96" spans="1:7" ht="12.75">
      <c r="A96" s="59">
        <v>8</v>
      </c>
      <c r="B96" s="59"/>
      <c r="C96" s="67">
        <f t="shared" si="3"/>
        <v>8.77948175375</v>
      </c>
      <c r="D96" s="59"/>
      <c r="E96" s="63">
        <f t="shared" si="2"/>
        <v>8.77948175375</v>
      </c>
      <c r="F96" s="66"/>
      <c r="G96" s="65"/>
    </row>
    <row r="97" spans="1:7" ht="12.75">
      <c r="A97" s="59">
        <v>9</v>
      </c>
      <c r="B97" s="59"/>
      <c r="C97" s="67">
        <f t="shared" si="3"/>
        <v>8.77948175375</v>
      </c>
      <c r="D97" s="59"/>
      <c r="E97" s="63">
        <f t="shared" si="2"/>
        <v>8.77948175375</v>
      </c>
      <c r="F97" s="66"/>
      <c r="G97" s="65"/>
    </row>
    <row r="98" spans="1:7" ht="12.75">
      <c r="A98" s="59">
        <v>10</v>
      </c>
      <c r="B98" s="59"/>
      <c r="C98" s="67">
        <f t="shared" si="3"/>
        <v>8.77948175375</v>
      </c>
      <c r="D98" s="59"/>
      <c r="E98" s="63">
        <f t="shared" si="2"/>
        <v>8.77948175375</v>
      </c>
      <c r="F98" s="66"/>
      <c r="G98" s="65"/>
    </row>
    <row r="99" spans="1:7" ht="12.75">
      <c r="A99" s="59">
        <v>11</v>
      </c>
      <c r="B99" s="59"/>
      <c r="C99" s="67">
        <f t="shared" si="3"/>
        <v>8.77948175375</v>
      </c>
      <c r="D99" s="59"/>
      <c r="E99" s="63">
        <f t="shared" si="2"/>
        <v>8.77948175375</v>
      </c>
      <c r="F99" s="66"/>
      <c r="G99" s="65"/>
    </row>
    <row r="100" spans="1:7" ht="12.75">
      <c r="A100" s="59">
        <v>12</v>
      </c>
      <c r="B100" s="59"/>
      <c r="C100" s="67">
        <f t="shared" si="3"/>
        <v>8.77948175375</v>
      </c>
      <c r="D100" s="59"/>
      <c r="E100" s="63">
        <f t="shared" si="2"/>
        <v>8.77948175375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8.77948175375</v>
      </c>
      <c r="D101" s="138"/>
      <c r="E101" s="140">
        <f t="shared" si="2"/>
        <v>8.77948175375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10.18496875</v>
      </c>
    </row>
    <row r="104" spans="1:4" ht="12.75">
      <c r="A104" s="53" t="s">
        <v>290</v>
      </c>
      <c r="B104" s="53"/>
      <c r="C104" s="53"/>
      <c r="D104" s="53">
        <f>$D$48</f>
        <v>1.40548699625</v>
      </c>
    </row>
    <row r="105" spans="1:4" ht="16.5" thickBot="1">
      <c r="A105" s="54" t="s">
        <v>197</v>
      </c>
      <c r="B105" s="55"/>
      <c r="C105" s="55"/>
      <c r="D105" s="55">
        <f>D103-D104</f>
        <v>8.77948175375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11.241710000000001</v>
      </c>
      <c r="C109" s="59">
        <v>0</v>
      </c>
      <c r="D109" s="59"/>
      <c r="E109" s="63">
        <f>+B109*-1</f>
        <v>-11.241710000000001</v>
      </c>
      <c r="F109" s="64">
        <f>IRR(E109:E136,0.1)</f>
        <v>0.09049100220590275</v>
      </c>
      <c r="G109" s="81">
        <f>NPV(Param!$B$38,E109:E136)</f>
        <v>34.066419970413335</v>
      </c>
    </row>
    <row r="110" spans="1:7" ht="12.75">
      <c r="A110" s="59">
        <v>2</v>
      </c>
      <c r="B110" s="62">
        <f>0.4*D32</f>
        <v>24.966840000000005</v>
      </c>
      <c r="C110" s="59">
        <v>0</v>
      </c>
      <c r="D110" s="59"/>
      <c r="E110" s="63">
        <f>+B110*-1</f>
        <v>-24.966840000000005</v>
      </c>
      <c r="F110" s="65"/>
      <c r="G110" s="65"/>
    </row>
    <row r="111" spans="1:7" ht="12.75">
      <c r="A111" s="59">
        <v>3</v>
      </c>
      <c r="B111" s="62">
        <f>0.6*D32</f>
        <v>37.45026</v>
      </c>
      <c r="C111" s="59">
        <v>0</v>
      </c>
      <c r="D111" s="59"/>
      <c r="E111" s="63">
        <f>+B111*-1</f>
        <v>-37.45026</v>
      </c>
      <c r="F111" s="66"/>
      <c r="G111" s="65"/>
    </row>
    <row r="112" spans="1:7" ht="12.75">
      <c r="A112" s="59">
        <v>4</v>
      </c>
      <c r="B112" s="59"/>
      <c r="C112" s="67">
        <f>$D$105*0.3</f>
        <v>2.633844526125</v>
      </c>
      <c r="D112" s="59"/>
      <c r="E112" s="63">
        <f>C112</f>
        <v>2.633844526125</v>
      </c>
      <c r="F112" s="65"/>
      <c r="G112" s="65"/>
    </row>
    <row r="113" spans="1:7" ht="12.75">
      <c r="A113" s="59">
        <v>5</v>
      </c>
      <c r="B113" s="59"/>
      <c r="C113" s="67">
        <f>$D$105*0.7</f>
        <v>6.1456372276249995</v>
      </c>
      <c r="D113" s="59"/>
      <c r="E113" s="63">
        <f aca="true" t="shared" si="4" ref="E113:E136">C113</f>
        <v>6.1456372276249995</v>
      </c>
      <c r="F113" s="66"/>
      <c r="G113" s="65"/>
    </row>
    <row r="114" spans="1:7" ht="12.75">
      <c r="A114" s="59">
        <v>6</v>
      </c>
      <c r="B114" s="59"/>
      <c r="C114" s="67">
        <f>$D$105</f>
        <v>8.77948175375</v>
      </c>
      <c r="D114" s="59"/>
      <c r="E114" s="63">
        <f t="shared" si="4"/>
        <v>8.77948175375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8.77948175375</v>
      </c>
      <c r="D115" s="59"/>
      <c r="E115" s="63">
        <f t="shared" si="4"/>
        <v>8.77948175375</v>
      </c>
      <c r="F115" s="66"/>
      <c r="G115" s="65"/>
    </row>
    <row r="116" spans="1:7" ht="12.75">
      <c r="A116" s="59">
        <v>8</v>
      </c>
      <c r="B116" s="59"/>
      <c r="C116" s="67">
        <f t="shared" si="5"/>
        <v>8.77948175375</v>
      </c>
      <c r="D116" s="59"/>
      <c r="E116" s="63">
        <f t="shared" si="4"/>
        <v>8.77948175375</v>
      </c>
      <c r="F116" s="66"/>
      <c r="G116" s="65"/>
    </row>
    <row r="117" spans="1:7" ht="12.75">
      <c r="A117" s="59">
        <v>9</v>
      </c>
      <c r="B117" s="59"/>
      <c r="C117" s="67">
        <f t="shared" si="5"/>
        <v>8.77948175375</v>
      </c>
      <c r="D117" s="59"/>
      <c r="E117" s="63">
        <f t="shared" si="4"/>
        <v>8.77948175375</v>
      </c>
      <c r="F117" s="66"/>
      <c r="G117" s="65"/>
    </row>
    <row r="118" spans="1:7" ht="12.75">
      <c r="A118" s="59">
        <v>10</v>
      </c>
      <c r="B118" s="59"/>
      <c r="C118" s="67">
        <f t="shared" si="5"/>
        <v>8.77948175375</v>
      </c>
      <c r="D118" s="59"/>
      <c r="E118" s="63">
        <f t="shared" si="4"/>
        <v>8.77948175375</v>
      </c>
      <c r="F118" s="66"/>
      <c r="G118" s="65"/>
    </row>
    <row r="119" spans="1:7" ht="12.75">
      <c r="A119" s="59">
        <v>11</v>
      </c>
      <c r="B119" s="59"/>
      <c r="C119" s="67">
        <f t="shared" si="5"/>
        <v>8.77948175375</v>
      </c>
      <c r="D119" s="59"/>
      <c r="E119" s="63">
        <f t="shared" si="4"/>
        <v>8.77948175375</v>
      </c>
      <c r="F119" s="66"/>
      <c r="G119" s="65"/>
    </row>
    <row r="120" spans="1:7" ht="12.75">
      <c r="A120" s="59">
        <v>12</v>
      </c>
      <c r="B120" s="59"/>
      <c r="C120" s="67">
        <f t="shared" si="5"/>
        <v>8.77948175375</v>
      </c>
      <c r="D120" s="59"/>
      <c r="E120" s="63">
        <f t="shared" si="4"/>
        <v>8.77948175375</v>
      </c>
      <c r="F120" s="66"/>
      <c r="G120" s="65"/>
    </row>
    <row r="121" spans="1:7" ht="12.75">
      <c r="A121" s="59">
        <v>13</v>
      </c>
      <c r="B121" s="59"/>
      <c r="C121" s="67">
        <f t="shared" si="5"/>
        <v>8.77948175375</v>
      </c>
      <c r="D121" s="59"/>
      <c r="E121" s="63">
        <f t="shared" si="4"/>
        <v>8.77948175375</v>
      </c>
      <c r="F121" s="66"/>
      <c r="G121" s="65"/>
    </row>
    <row r="122" spans="1:7" ht="12.75">
      <c r="A122" s="59">
        <v>14</v>
      </c>
      <c r="B122" s="59"/>
      <c r="C122" s="67">
        <f t="shared" si="5"/>
        <v>8.77948175375</v>
      </c>
      <c r="D122" s="59"/>
      <c r="E122" s="63">
        <f t="shared" si="4"/>
        <v>8.77948175375</v>
      </c>
      <c r="F122" s="66"/>
      <c r="G122" s="65"/>
    </row>
    <row r="123" spans="1:7" ht="12.75">
      <c r="A123" s="59">
        <v>15</v>
      </c>
      <c r="B123" s="59"/>
      <c r="C123" s="67">
        <f t="shared" si="5"/>
        <v>8.77948175375</v>
      </c>
      <c r="D123" s="59"/>
      <c r="E123" s="63">
        <f t="shared" si="4"/>
        <v>8.77948175375</v>
      </c>
      <c r="F123" s="66"/>
      <c r="G123" s="65"/>
    </row>
    <row r="124" spans="1:7" ht="12.75">
      <c r="A124" s="59">
        <v>16</v>
      </c>
      <c r="B124" s="59"/>
      <c r="C124" s="67">
        <f t="shared" si="5"/>
        <v>8.77948175375</v>
      </c>
      <c r="D124" s="59"/>
      <c r="E124" s="63">
        <f t="shared" si="4"/>
        <v>8.77948175375</v>
      </c>
      <c r="F124" s="66"/>
      <c r="G124" s="65"/>
    </row>
    <row r="125" spans="1:7" ht="12.75">
      <c r="A125" s="59">
        <v>17</v>
      </c>
      <c r="B125" s="59"/>
      <c r="C125" s="67">
        <f t="shared" si="5"/>
        <v>8.77948175375</v>
      </c>
      <c r="D125" s="59"/>
      <c r="E125" s="63">
        <f t="shared" si="4"/>
        <v>8.77948175375</v>
      </c>
      <c r="F125" s="66"/>
      <c r="G125" s="65"/>
    </row>
    <row r="126" spans="1:7" ht="12.75">
      <c r="A126" s="59">
        <v>18</v>
      </c>
      <c r="B126" s="59"/>
      <c r="C126" s="67">
        <f t="shared" si="5"/>
        <v>8.77948175375</v>
      </c>
      <c r="D126" s="59"/>
      <c r="E126" s="63">
        <f t="shared" si="4"/>
        <v>8.77948175375</v>
      </c>
      <c r="F126" s="66"/>
      <c r="G126" s="65"/>
    </row>
    <row r="127" spans="1:7" ht="12.75">
      <c r="A127" s="59">
        <v>19</v>
      </c>
      <c r="B127" s="59"/>
      <c r="C127" s="67">
        <f t="shared" si="5"/>
        <v>8.77948175375</v>
      </c>
      <c r="D127" s="59"/>
      <c r="E127" s="63">
        <f t="shared" si="4"/>
        <v>8.77948175375</v>
      </c>
      <c r="F127" s="66"/>
      <c r="G127" s="65"/>
    </row>
    <row r="128" spans="1:7" ht="12.75">
      <c r="A128" s="59">
        <v>20</v>
      </c>
      <c r="B128" s="59"/>
      <c r="C128" s="67">
        <f t="shared" si="5"/>
        <v>8.77948175375</v>
      </c>
      <c r="D128" s="59"/>
      <c r="E128" s="63">
        <f t="shared" si="4"/>
        <v>8.77948175375</v>
      </c>
      <c r="F128" s="66"/>
      <c r="G128" s="65"/>
    </row>
    <row r="129" spans="1:7" ht="12.75">
      <c r="A129" s="59">
        <v>21</v>
      </c>
      <c r="B129" s="59"/>
      <c r="C129" s="67">
        <f t="shared" si="5"/>
        <v>8.77948175375</v>
      </c>
      <c r="D129" s="59"/>
      <c r="E129" s="63">
        <f t="shared" si="4"/>
        <v>8.77948175375</v>
      </c>
      <c r="F129" s="66"/>
      <c r="G129" s="65"/>
    </row>
    <row r="130" spans="1:7" ht="12.75">
      <c r="A130" s="59">
        <v>22</v>
      </c>
      <c r="B130" s="59"/>
      <c r="C130" s="67">
        <f t="shared" si="5"/>
        <v>8.77948175375</v>
      </c>
      <c r="D130" s="59"/>
      <c r="E130" s="63">
        <f t="shared" si="4"/>
        <v>8.77948175375</v>
      </c>
      <c r="F130" s="66"/>
      <c r="G130" s="65"/>
    </row>
    <row r="131" spans="1:7" ht="12.75">
      <c r="A131" s="59">
        <v>23</v>
      </c>
      <c r="B131" s="59"/>
      <c r="C131" s="67">
        <f t="shared" si="5"/>
        <v>8.77948175375</v>
      </c>
      <c r="D131" s="59"/>
      <c r="E131" s="63">
        <f t="shared" si="4"/>
        <v>8.77948175375</v>
      </c>
      <c r="F131" s="66"/>
      <c r="G131" s="65"/>
    </row>
    <row r="132" spans="1:7" ht="12.75">
      <c r="A132" s="59">
        <v>24</v>
      </c>
      <c r="B132" s="59"/>
      <c r="C132" s="67">
        <f t="shared" si="5"/>
        <v>8.77948175375</v>
      </c>
      <c r="D132" s="59"/>
      <c r="E132" s="63">
        <f t="shared" si="4"/>
        <v>8.77948175375</v>
      </c>
      <c r="F132" s="66"/>
      <c r="G132" s="65"/>
    </row>
    <row r="133" spans="1:7" ht="12.75">
      <c r="A133" s="59">
        <v>25</v>
      </c>
      <c r="B133" s="59"/>
      <c r="C133" s="67">
        <f t="shared" si="5"/>
        <v>8.77948175375</v>
      </c>
      <c r="D133" s="59"/>
      <c r="E133" s="63">
        <f t="shared" si="4"/>
        <v>8.77948175375</v>
      </c>
      <c r="F133" s="66"/>
      <c r="G133" s="65"/>
    </row>
    <row r="134" spans="1:7" ht="12.75">
      <c r="A134" s="59">
        <v>26</v>
      </c>
      <c r="B134" s="59"/>
      <c r="C134" s="67">
        <f t="shared" si="5"/>
        <v>8.77948175375</v>
      </c>
      <c r="D134" s="59"/>
      <c r="E134" s="63">
        <f t="shared" si="4"/>
        <v>8.77948175375</v>
      </c>
      <c r="F134" s="66"/>
      <c r="G134" s="65"/>
    </row>
    <row r="135" spans="1:7" ht="12.75">
      <c r="A135" s="59">
        <v>27</v>
      </c>
      <c r="B135" s="59"/>
      <c r="C135" s="67">
        <f t="shared" si="5"/>
        <v>8.77948175375</v>
      </c>
      <c r="D135" s="59"/>
      <c r="E135" s="63">
        <f t="shared" si="4"/>
        <v>8.77948175375</v>
      </c>
      <c r="F135" s="66"/>
      <c r="G135" s="65"/>
    </row>
    <row r="136" spans="1:7" ht="13.5" thickBot="1">
      <c r="A136" s="138">
        <v>28</v>
      </c>
      <c r="B136" s="138"/>
      <c r="C136" s="139">
        <f>$D$84</f>
        <v>8.77948175375</v>
      </c>
      <c r="D136" s="138"/>
      <c r="E136" s="140">
        <f t="shared" si="4"/>
        <v>8.77948175375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10.18496875</v>
      </c>
    </row>
    <row r="139" spans="1:4" ht="12.75">
      <c r="A139" s="53" t="s">
        <v>48</v>
      </c>
      <c r="B139" s="53"/>
      <c r="C139" s="53"/>
      <c r="D139" s="53">
        <f>$D$48</f>
        <v>1.40548699625</v>
      </c>
    </row>
    <row r="140" spans="1:4" ht="16.5" thickBot="1">
      <c r="A140" s="54" t="s">
        <v>196</v>
      </c>
      <c r="B140" s="55"/>
      <c r="C140" s="55"/>
      <c r="D140" s="55">
        <f>D138-D139</f>
        <v>8.77948175375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11.241710000000001</v>
      </c>
      <c r="C144" s="59">
        <v>0</v>
      </c>
      <c r="D144" s="59"/>
      <c r="E144" s="63">
        <f>+B144*-1</f>
        <v>-11.241710000000001</v>
      </c>
      <c r="F144" s="64">
        <f>IRR(E144:E221,0.1)</f>
        <v>0.101607060452457</v>
      </c>
      <c r="G144" s="81">
        <f>NPV(Param!$B$38,E144:E221)</f>
        <v>74.95220684573007</v>
      </c>
    </row>
    <row r="145" spans="1:7" ht="12.75">
      <c r="A145" s="59">
        <v>2</v>
      </c>
      <c r="B145" s="62">
        <f>0.4*D32</f>
        <v>24.966840000000005</v>
      </c>
      <c r="C145" s="59">
        <v>0</v>
      </c>
      <c r="D145" s="59"/>
      <c r="E145" s="63">
        <f>+B145*-1</f>
        <v>-24.966840000000005</v>
      </c>
      <c r="F145" s="65"/>
      <c r="G145" s="65"/>
    </row>
    <row r="146" spans="1:7" ht="12.75">
      <c r="A146" s="59">
        <v>3</v>
      </c>
      <c r="B146" s="62">
        <f>0.6*D32</f>
        <v>37.45026</v>
      </c>
      <c r="C146" s="59">
        <v>0</v>
      </c>
      <c r="D146" s="59"/>
      <c r="E146" s="63">
        <f>+B146*-1</f>
        <v>-37.45026</v>
      </c>
      <c r="F146" s="66"/>
      <c r="G146" s="65"/>
    </row>
    <row r="147" spans="1:7" ht="12.75">
      <c r="A147" s="59">
        <v>4</v>
      </c>
      <c r="B147" s="59"/>
      <c r="C147" s="67">
        <f>$D$140*0.3</f>
        <v>2.633844526125</v>
      </c>
      <c r="D147" s="59"/>
      <c r="E147" s="63">
        <f>C147</f>
        <v>2.633844526125</v>
      </c>
      <c r="F147" s="65"/>
      <c r="G147" s="65"/>
    </row>
    <row r="148" spans="1:7" ht="12.75">
      <c r="A148" s="59">
        <v>5</v>
      </c>
      <c r="B148" s="59"/>
      <c r="C148" s="67">
        <f>$D$140*0.7</f>
        <v>6.1456372276249995</v>
      </c>
      <c r="D148" s="59"/>
      <c r="E148" s="63">
        <f aca="true" t="shared" si="6" ref="E148:E211">C148</f>
        <v>6.1456372276249995</v>
      </c>
      <c r="F148" s="66"/>
      <c r="G148" s="65"/>
    </row>
    <row r="149" spans="1:7" ht="12.75">
      <c r="A149" s="59">
        <v>6</v>
      </c>
      <c r="B149" s="59"/>
      <c r="C149" s="67">
        <f>$D$140</f>
        <v>8.77948175375</v>
      </c>
      <c r="D149" s="59"/>
      <c r="E149" s="63">
        <f t="shared" si="6"/>
        <v>8.77948175375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8.77948175375</v>
      </c>
      <c r="D150" s="59"/>
      <c r="E150" s="63">
        <f t="shared" si="6"/>
        <v>8.77948175375</v>
      </c>
      <c r="F150" s="66"/>
      <c r="G150" s="65"/>
    </row>
    <row r="151" spans="1:7" ht="12.75">
      <c r="A151" s="59">
        <v>8</v>
      </c>
      <c r="B151" s="59"/>
      <c r="C151" s="67">
        <f t="shared" si="7"/>
        <v>8.77948175375</v>
      </c>
      <c r="D151" s="59"/>
      <c r="E151" s="63">
        <f t="shared" si="6"/>
        <v>8.77948175375</v>
      </c>
      <c r="F151" s="66"/>
      <c r="G151" s="65"/>
    </row>
    <row r="152" spans="1:7" ht="12.75">
      <c r="A152" s="59">
        <v>9</v>
      </c>
      <c r="B152" s="59"/>
      <c r="C152" s="67">
        <f t="shared" si="7"/>
        <v>8.77948175375</v>
      </c>
      <c r="D152" s="59"/>
      <c r="E152" s="63">
        <f t="shared" si="6"/>
        <v>8.77948175375</v>
      </c>
      <c r="F152" s="66"/>
      <c r="G152" s="65"/>
    </row>
    <row r="153" spans="1:7" ht="12.75">
      <c r="A153" s="59">
        <v>10</v>
      </c>
      <c r="B153" s="59"/>
      <c r="C153" s="67">
        <f t="shared" si="7"/>
        <v>8.77948175375</v>
      </c>
      <c r="D153" s="59"/>
      <c r="E153" s="63">
        <f t="shared" si="6"/>
        <v>8.77948175375</v>
      </c>
      <c r="F153" s="66"/>
      <c r="G153" s="65"/>
    </row>
    <row r="154" spans="1:7" ht="12.75">
      <c r="A154" s="59">
        <v>11</v>
      </c>
      <c r="C154" s="67">
        <f t="shared" si="7"/>
        <v>8.77948175375</v>
      </c>
      <c r="E154" s="63">
        <f t="shared" si="6"/>
        <v>8.77948175375</v>
      </c>
      <c r="F154" s="66"/>
      <c r="G154" s="65"/>
    </row>
    <row r="155" spans="1:7" ht="12.75">
      <c r="A155" s="59">
        <v>12</v>
      </c>
      <c r="C155" s="67">
        <f t="shared" si="7"/>
        <v>8.77948175375</v>
      </c>
      <c r="E155" s="63">
        <f t="shared" si="6"/>
        <v>8.77948175375</v>
      </c>
      <c r="F155" s="66"/>
      <c r="G155" s="65"/>
    </row>
    <row r="156" spans="1:7" ht="12.75">
      <c r="A156" s="59">
        <v>13</v>
      </c>
      <c r="C156" s="67">
        <f t="shared" si="7"/>
        <v>8.77948175375</v>
      </c>
      <c r="E156" s="63">
        <f t="shared" si="6"/>
        <v>8.77948175375</v>
      </c>
      <c r="F156" s="66"/>
      <c r="G156" s="65"/>
    </row>
    <row r="157" spans="1:7" ht="12.75">
      <c r="A157" s="59">
        <v>14</v>
      </c>
      <c r="C157" s="67">
        <f t="shared" si="7"/>
        <v>8.77948175375</v>
      </c>
      <c r="E157" s="63">
        <f t="shared" si="6"/>
        <v>8.77948175375</v>
      </c>
      <c r="F157" s="66"/>
      <c r="G157" s="65"/>
    </row>
    <row r="158" spans="1:7" ht="12.75">
      <c r="A158" s="59">
        <v>15</v>
      </c>
      <c r="C158" s="67">
        <f t="shared" si="7"/>
        <v>8.77948175375</v>
      </c>
      <c r="E158" s="63">
        <f t="shared" si="6"/>
        <v>8.77948175375</v>
      </c>
      <c r="F158" s="66"/>
      <c r="G158" s="65"/>
    </row>
    <row r="159" spans="1:7" ht="12.75">
      <c r="A159" s="59">
        <v>16</v>
      </c>
      <c r="C159" s="67">
        <f t="shared" si="7"/>
        <v>8.77948175375</v>
      </c>
      <c r="E159" s="63">
        <f t="shared" si="6"/>
        <v>8.77948175375</v>
      </c>
      <c r="F159" s="66"/>
      <c r="G159" s="65"/>
    </row>
    <row r="160" spans="1:7" ht="12.75">
      <c r="A160" s="59">
        <v>17</v>
      </c>
      <c r="C160" s="67">
        <f t="shared" si="7"/>
        <v>8.77948175375</v>
      </c>
      <c r="E160" s="63">
        <f t="shared" si="6"/>
        <v>8.77948175375</v>
      </c>
      <c r="F160" s="66"/>
      <c r="G160" s="65"/>
    </row>
    <row r="161" spans="1:7" ht="12.75">
      <c r="A161" s="59">
        <v>18</v>
      </c>
      <c r="C161" s="67">
        <f t="shared" si="7"/>
        <v>8.77948175375</v>
      </c>
      <c r="E161" s="63">
        <f t="shared" si="6"/>
        <v>8.77948175375</v>
      </c>
      <c r="F161" s="66"/>
      <c r="G161" s="65"/>
    </row>
    <row r="162" spans="1:7" ht="12.75">
      <c r="A162" s="59">
        <v>19</v>
      </c>
      <c r="C162" s="67">
        <f t="shared" si="7"/>
        <v>8.77948175375</v>
      </c>
      <c r="E162" s="63">
        <f t="shared" si="6"/>
        <v>8.77948175375</v>
      </c>
      <c r="F162" s="66"/>
      <c r="G162" s="65"/>
    </row>
    <row r="163" spans="1:7" ht="12.75">
      <c r="A163" s="59">
        <v>20</v>
      </c>
      <c r="C163" s="67">
        <f t="shared" si="7"/>
        <v>8.77948175375</v>
      </c>
      <c r="E163" s="63">
        <f t="shared" si="6"/>
        <v>8.77948175375</v>
      </c>
      <c r="F163" s="66"/>
      <c r="G163" s="65"/>
    </row>
    <row r="164" spans="1:7" ht="12.75">
      <c r="A164" s="59">
        <v>21</v>
      </c>
      <c r="C164" s="67">
        <f t="shared" si="7"/>
        <v>8.77948175375</v>
      </c>
      <c r="E164" s="63">
        <f t="shared" si="6"/>
        <v>8.77948175375</v>
      </c>
      <c r="F164" s="66"/>
      <c r="G164" s="65"/>
    </row>
    <row r="165" spans="1:7" ht="12.75">
      <c r="A165" s="59">
        <v>22</v>
      </c>
      <c r="C165" s="67">
        <f t="shared" si="7"/>
        <v>8.77948175375</v>
      </c>
      <c r="E165" s="63">
        <f t="shared" si="6"/>
        <v>8.77948175375</v>
      </c>
      <c r="F165" s="66"/>
      <c r="G165" s="65"/>
    </row>
    <row r="166" spans="1:7" ht="12.75">
      <c r="A166" s="59">
        <v>23</v>
      </c>
      <c r="C166" s="67">
        <f t="shared" si="7"/>
        <v>8.77948175375</v>
      </c>
      <c r="E166" s="63">
        <f t="shared" si="6"/>
        <v>8.77948175375</v>
      </c>
      <c r="F166" s="66"/>
      <c r="G166" s="65"/>
    </row>
    <row r="167" spans="1:7" ht="12.75">
      <c r="A167" s="59">
        <v>24</v>
      </c>
      <c r="C167" s="67">
        <f t="shared" si="7"/>
        <v>8.77948175375</v>
      </c>
      <c r="E167" s="63">
        <f t="shared" si="6"/>
        <v>8.77948175375</v>
      </c>
      <c r="F167" s="66"/>
      <c r="G167" s="65"/>
    </row>
    <row r="168" spans="1:7" ht="12.75">
      <c r="A168" s="59">
        <v>25</v>
      </c>
      <c r="C168" s="67">
        <f t="shared" si="7"/>
        <v>8.77948175375</v>
      </c>
      <c r="E168" s="63">
        <f t="shared" si="6"/>
        <v>8.77948175375</v>
      </c>
      <c r="F168" s="66"/>
      <c r="G168" s="65"/>
    </row>
    <row r="169" spans="1:7" ht="12.75">
      <c r="A169" s="59">
        <v>26</v>
      </c>
      <c r="C169" s="67">
        <f t="shared" si="7"/>
        <v>8.77948175375</v>
      </c>
      <c r="E169" s="63">
        <f t="shared" si="6"/>
        <v>8.77948175375</v>
      </c>
      <c r="F169" s="66"/>
      <c r="G169" s="65"/>
    </row>
    <row r="170" spans="1:7" ht="12.75">
      <c r="A170" s="59">
        <v>27</v>
      </c>
      <c r="C170" s="67">
        <f t="shared" si="7"/>
        <v>8.77948175375</v>
      </c>
      <c r="E170" s="63">
        <f t="shared" si="6"/>
        <v>8.77948175375</v>
      </c>
      <c r="F170" s="66"/>
      <c r="G170" s="65"/>
    </row>
    <row r="171" spans="1:7" ht="12.75">
      <c r="A171" s="59">
        <v>28</v>
      </c>
      <c r="C171" s="67">
        <f t="shared" si="7"/>
        <v>8.77948175375</v>
      </c>
      <c r="E171" s="63">
        <f t="shared" si="6"/>
        <v>8.77948175375</v>
      </c>
      <c r="F171" s="66"/>
      <c r="G171" s="65"/>
    </row>
    <row r="172" spans="1:7" ht="12.75">
      <c r="A172" s="59">
        <v>29</v>
      </c>
      <c r="C172" s="67">
        <f t="shared" si="7"/>
        <v>8.77948175375</v>
      </c>
      <c r="E172" s="63">
        <f t="shared" si="6"/>
        <v>8.77948175375</v>
      </c>
      <c r="F172" s="66"/>
      <c r="G172" s="65"/>
    </row>
    <row r="173" spans="1:7" ht="12.75">
      <c r="A173" s="59">
        <v>30</v>
      </c>
      <c r="C173" s="67">
        <f t="shared" si="7"/>
        <v>8.77948175375</v>
      </c>
      <c r="E173" s="63">
        <f t="shared" si="6"/>
        <v>8.77948175375</v>
      </c>
      <c r="F173" s="66"/>
      <c r="G173" s="65"/>
    </row>
    <row r="174" spans="1:7" ht="12.75">
      <c r="A174" s="59">
        <v>31</v>
      </c>
      <c r="C174" s="67">
        <f t="shared" si="7"/>
        <v>8.77948175375</v>
      </c>
      <c r="E174" s="63">
        <f t="shared" si="6"/>
        <v>8.77948175375</v>
      </c>
      <c r="F174" s="66"/>
      <c r="G174" s="65"/>
    </row>
    <row r="175" spans="1:7" ht="12.75">
      <c r="A175" s="59">
        <v>32</v>
      </c>
      <c r="C175" s="67">
        <f t="shared" si="7"/>
        <v>8.77948175375</v>
      </c>
      <c r="E175" s="63">
        <f t="shared" si="6"/>
        <v>8.77948175375</v>
      </c>
      <c r="F175" s="66"/>
      <c r="G175" s="65"/>
    </row>
    <row r="176" spans="1:7" ht="12.75">
      <c r="A176" s="59">
        <v>33</v>
      </c>
      <c r="C176" s="67">
        <f t="shared" si="7"/>
        <v>8.77948175375</v>
      </c>
      <c r="E176" s="63">
        <f t="shared" si="6"/>
        <v>8.77948175375</v>
      </c>
      <c r="F176" s="66"/>
      <c r="G176" s="65"/>
    </row>
    <row r="177" spans="1:7" ht="12.75">
      <c r="A177" s="59">
        <v>34</v>
      </c>
      <c r="C177" s="67">
        <f t="shared" si="7"/>
        <v>8.77948175375</v>
      </c>
      <c r="E177" s="63">
        <f t="shared" si="6"/>
        <v>8.77948175375</v>
      </c>
      <c r="F177" s="66"/>
      <c r="G177" s="65"/>
    </row>
    <row r="178" spans="1:7" ht="12.75">
      <c r="A178" s="59">
        <v>35</v>
      </c>
      <c r="C178" s="67">
        <f t="shared" si="7"/>
        <v>8.77948175375</v>
      </c>
      <c r="E178" s="63">
        <f t="shared" si="6"/>
        <v>8.77948175375</v>
      </c>
      <c r="F178" s="66"/>
      <c r="G178" s="65"/>
    </row>
    <row r="179" spans="1:7" ht="12.75">
      <c r="A179" s="59">
        <v>36</v>
      </c>
      <c r="C179" s="67">
        <f t="shared" si="7"/>
        <v>8.77948175375</v>
      </c>
      <c r="E179" s="63">
        <f t="shared" si="6"/>
        <v>8.77948175375</v>
      </c>
      <c r="F179" s="66"/>
      <c r="G179" s="65"/>
    </row>
    <row r="180" spans="1:7" ht="12.75">
      <c r="A180" s="59">
        <v>37</v>
      </c>
      <c r="C180" s="67">
        <f t="shared" si="7"/>
        <v>8.77948175375</v>
      </c>
      <c r="E180" s="63">
        <f t="shared" si="6"/>
        <v>8.77948175375</v>
      </c>
      <c r="F180" s="66"/>
      <c r="G180" s="65"/>
    </row>
    <row r="181" spans="1:7" ht="12.75">
      <c r="A181" s="59">
        <v>38</v>
      </c>
      <c r="C181" s="67">
        <f t="shared" si="7"/>
        <v>8.77948175375</v>
      </c>
      <c r="E181" s="63">
        <f t="shared" si="6"/>
        <v>8.77948175375</v>
      </c>
      <c r="F181" s="66"/>
      <c r="G181" s="65"/>
    </row>
    <row r="182" spans="1:7" ht="12.75">
      <c r="A182" s="59">
        <v>39</v>
      </c>
      <c r="C182" s="67">
        <f t="shared" si="7"/>
        <v>8.77948175375</v>
      </c>
      <c r="E182" s="63">
        <f t="shared" si="6"/>
        <v>8.77948175375</v>
      </c>
      <c r="F182" s="66"/>
      <c r="G182" s="65"/>
    </row>
    <row r="183" spans="1:7" ht="12.75">
      <c r="A183" s="59">
        <v>40</v>
      </c>
      <c r="C183" s="67">
        <f t="shared" si="7"/>
        <v>8.77948175375</v>
      </c>
      <c r="E183" s="63">
        <f t="shared" si="6"/>
        <v>8.77948175375</v>
      </c>
      <c r="F183" s="66"/>
      <c r="G183" s="65"/>
    </row>
    <row r="184" spans="1:7" ht="12.75">
      <c r="A184" s="59">
        <v>41</v>
      </c>
      <c r="C184" s="67">
        <f t="shared" si="7"/>
        <v>8.77948175375</v>
      </c>
      <c r="E184" s="63">
        <f t="shared" si="6"/>
        <v>8.77948175375</v>
      </c>
      <c r="F184" s="66"/>
      <c r="G184" s="65"/>
    </row>
    <row r="185" spans="1:7" ht="12.75">
      <c r="A185" s="59">
        <v>42</v>
      </c>
      <c r="C185" s="67">
        <f t="shared" si="7"/>
        <v>8.77948175375</v>
      </c>
      <c r="E185" s="63">
        <f t="shared" si="6"/>
        <v>8.77948175375</v>
      </c>
      <c r="F185" s="66"/>
      <c r="G185" s="65"/>
    </row>
    <row r="186" spans="1:7" ht="12.75">
      <c r="A186" s="59">
        <v>43</v>
      </c>
      <c r="C186" s="67">
        <f t="shared" si="7"/>
        <v>8.77948175375</v>
      </c>
      <c r="E186" s="63">
        <f t="shared" si="6"/>
        <v>8.77948175375</v>
      </c>
      <c r="F186" s="66"/>
      <c r="G186" s="65"/>
    </row>
    <row r="187" spans="1:7" ht="12.75">
      <c r="A187" s="59">
        <v>44</v>
      </c>
      <c r="C187" s="67">
        <f t="shared" si="7"/>
        <v>8.77948175375</v>
      </c>
      <c r="E187" s="63">
        <f t="shared" si="6"/>
        <v>8.77948175375</v>
      </c>
      <c r="F187" s="66"/>
      <c r="G187" s="65"/>
    </row>
    <row r="188" spans="1:7" ht="12.75">
      <c r="A188" s="59">
        <v>45</v>
      </c>
      <c r="C188" s="67">
        <f t="shared" si="7"/>
        <v>8.77948175375</v>
      </c>
      <c r="E188" s="63">
        <f t="shared" si="6"/>
        <v>8.77948175375</v>
      </c>
      <c r="F188" s="66"/>
      <c r="G188" s="65"/>
    </row>
    <row r="189" spans="1:7" ht="12.75">
      <c r="A189" s="59">
        <v>46</v>
      </c>
      <c r="C189" s="67">
        <f t="shared" si="7"/>
        <v>8.77948175375</v>
      </c>
      <c r="E189" s="63">
        <f t="shared" si="6"/>
        <v>8.77948175375</v>
      </c>
      <c r="F189" s="66"/>
      <c r="G189" s="65"/>
    </row>
    <row r="190" spans="1:7" ht="12.75">
      <c r="A190" s="59">
        <v>47</v>
      </c>
      <c r="C190" s="67">
        <f t="shared" si="7"/>
        <v>8.77948175375</v>
      </c>
      <c r="E190" s="63">
        <f t="shared" si="6"/>
        <v>8.77948175375</v>
      </c>
      <c r="F190" s="66"/>
      <c r="G190" s="65"/>
    </row>
    <row r="191" spans="1:7" ht="12.75">
      <c r="A191" s="59">
        <v>48</v>
      </c>
      <c r="C191" s="67">
        <f t="shared" si="7"/>
        <v>8.77948175375</v>
      </c>
      <c r="E191" s="63">
        <f t="shared" si="6"/>
        <v>8.77948175375</v>
      </c>
      <c r="F191" s="66"/>
      <c r="G191" s="65"/>
    </row>
    <row r="192" spans="1:7" ht="12.75">
      <c r="A192" s="59">
        <v>49</v>
      </c>
      <c r="C192" s="67">
        <f t="shared" si="7"/>
        <v>8.77948175375</v>
      </c>
      <c r="E192" s="63">
        <f t="shared" si="6"/>
        <v>8.77948175375</v>
      </c>
      <c r="F192" s="66"/>
      <c r="G192" s="65"/>
    </row>
    <row r="193" spans="1:7" ht="12.75">
      <c r="A193" s="59">
        <v>50</v>
      </c>
      <c r="C193" s="67">
        <f t="shared" si="7"/>
        <v>8.77948175375</v>
      </c>
      <c r="E193" s="63">
        <f t="shared" si="6"/>
        <v>8.77948175375</v>
      </c>
      <c r="F193" s="66"/>
      <c r="G193" s="65"/>
    </row>
    <row r="194" spans="1:7" ht="12.75">
      <c r="A194" s="59">
        <v>51</v>
      </c>
      <c r="C194" s="67">
        <f t="shared" si="7"/>
        <v>8.77948175375</v>
      </c>
      <c r="E194" s="63">
        <f t="shared" si="6"/>
        <v>8.77948175375</v>
      </c>
      <c r="F194" s="66"/>
      <c r="G194" s="65"/>
    </row>
    <row r="195" spans="1:7" ht="12.75">
      <c r="A195" s="59">
        <v>52</v>
      </c>
      <c r="C195" s="67">
        <f t="shared" si="7"/>
        <v>8.77948175375</v>
      </c>
      <c r="E195" s="63">
        <f t="shared" si="6"/>
        <v>8.77948175375</v>
      </c>
      <c r="F195" s="66"/>
      <c r="G195" s="65"/>
    </row>
    <row r="196" spans="1:7" ht="12.75">
      <c r="A196" s="59">
        <v>53</v>
      </c>
      <c r="C196" s="67">
        <f t="shared" si="7"/>
        <v>8.77948175375</v>
      </c>
      <c r="E196" s="63">
        <f t="shared" si="6"/>
        <v>8.77948175375</v>
      </c>
      <c r="F196" s="66"/>
      <c r="G196" s="65"/>
    </row>
    <row r="197" spans="1:7" ht="12.75">
      <c r="A197" s="59">
        <v>54</v>
      </c>
      <c r="C197" s="67">
        <f t="shared" si="7"/>
        <v>8.77948175375</v>
      </c>
      <c r="E197" s="63">
        <f t="shared" si="6"/>
        <v>8.77948175375</v>
      </c>
      <c r="F197" s="66"/>
      <c r="G197" s="65"/>
    </row>
    <row r="198" spans="1:7" ht="12.75">
      <c r="A198" s="59">
        <v>55</v>
      </c>
      <c r="C198" s="67">
        <f t="shared" si="7"/>
        <v>8.77948175375</v>
      </c>
      <c r="E198" s="63">
        <f t="shared" si="6"/>
        <v>8.77948175375</v>
      </c>
      <c r="F198" s="66"/>
      <c r="G198" s="65"/>
    </row>
    <row r="199" spans="1:7" ht="12.75">
      <c r="A199" s="59">
        <v>56</v>
      </c>
      <c r="C199" s="67">
        <f t="shared" si="7"/>
        <v>8.77948175375</v>
      </c>
      <c r="E199" s="63">
        <f t="shared" si="6"/>
        <v>8.77948175375</v>
      </c>
      <c r="F199" s="66"/>
      <c r="G199" s="65"/>
    </row>
    <row r="200" spans="1:7" ht="12.75">
      <c r="A200" s="59">
        <v>57</v>
      </c>
      <c r="C200" s="67">
        <f t="shared" si="7"/>
        <v>8.77948175375</v>
      </c>
      <c r="E200" s="63">
        <f t="shared" si="6"/>
        <v>8.77948175375</v>
      </c>
      <c r="F200" s="66"/>
      <c r="G200" s="65"/>
    </row>
    <row r="201" spans="1:7" ht="12.75">
      <c r="A201" s="59">
        <v>58</v>
      </c>
      <c r="C201" s="67">
        <f t="shared" si="7"/>
        <v>8.77948175375</v>
      </c>
      <c r="E201" s="63">
        <f t="shared" si="6"/>
        <v>8.77948175375</v>
      </c>
      <c r="F201" s="66"/>
      <c r="G201" s="65"/>
    </row>
    <row r="202" spans="1:7" ht="12.75">
      <c r="A202" s="59">
        <v>59</v>
      </c>
      <c r="C202" s="67">
        <f t="shared" si="7"/>
        <v>8.77948175375</v>
      </c>
      <c r="E202" s="63">
        <f t="shared" si="6"/>
        <v>8.77948175375</v>
      </c>
      <c r="F202" s="66"/>
      <c r="G202" s="65"/>
    </row>
    <row r="203" spans="1:7" ht="12.75">
      <c r="A203" s="59">
        <v>60</v>
      </c>
      <c r="C203" s="67">
        <f t="shared" si="7"/>
        <v>8.77948175375</v>
      </c>
      <c r="E203" s="63">
        <f t="shared" si="6"/>
        <v>8.77948175375</v>
      </c>
      <c r="F203" s="66"/>
      <c r="G203" s="65"/>
    </row>
    <row r="204" spans="1:7" ht="12.75">
      <c r="A204" s="59">
        <v>61</v>
      </c>
      <c r="C204" s="67">
        <f t="shared" si="7"/>
        <v>8.77948175375</v>
      </c>
      <c r="E204" s="63">
        <f t="shared" si="6"/>
        <v>8.77948175375</v>
      </c>
      <c r="F204" s="66"/>
      <c r="G204" s="65"/>
    </row>
    <row r="205" spans="1:7" ht="12.75">
      <c r="A205" s="59">
        <v>62</v>
      </c>
      <c r="C205" s="67">
        <f t="shared" si="7"/>
        <v>8.77948175375</v>
      </c>
      <c r="E205" s="63">
        <f t="shared" si="6"/>
        <v>8.77948175375</v>
      </c>
      <c r="F205" s="66"/>
      <c r="G205" s="65"/>
    </row>
    <row r="206" spans="1:7" ht="12.75">
      <c r="A206" s="59">
        <v>63</v>
      </c>
      <c r="C206" s="67">
        <f t="shared" si="7"/>
        <v>8.77948175375</v>
      </c>
      <c r="E206" s="63">
        <f t="shared" si="6"/>
        <v>8.77948175375</v>
      </c>
      <c r="F206" s="66"/>
      <c r="G206" s="65"/>
    </row>
    <row r="207" spans="1:7" ht="12.75">
      <c r="A207" s="59">
        <v>64</v>
      </c>
      <c r="C207" s="67">
        <f t="shared" si="7"/>
        <v>8.77948175375</v>
      </c>
      <c r="E207" s="63">
        <f t="shared" si="6"/>
        <v>8.77948175375</v>
      </c>
      <c r="F207" s="66"/>
      <c r="G207" s="65"/>
    </row>
    <row r="208" spans="1:7" ht="12.75">
      <c r="A208" s="59">
        <v>65</v>
      </c>
      <c r="C208" s="67">
        <f t="shared" si="7"/>
        <v>8.77948175375</v>
      </c>
      <c r="E208" s="63">
        <f t="shared" si="6"/>
        <v>8.77948175375</v>
      </c>
      <c r="F208" s="66"/>
      <c r="G208" s="65"/>
    </row>
    <row r="209" spans="1:7" ht="12.75">
      <c r="A209" s="59">
        <v>66</v>
      </c>
      <c r="C209" s="67">
        <f t="shared" si="7"/>
        <v>8.77948175375</v>
      </c>
      <c r="E209" s="63">
        <f t="shared" si="6"/>
        <v>8.77948175375</v>
      </c>
      <c r="F209" s="66"/>
      <c r="G209" s="65"/>
    </row>
    <row r="210" spans="1:7" ht="12.75">
      <c r="A210" s="59">
        <v>67</v>
      </c>
      <c r="C210" s="67">
        <f t="shared" si="7"/>
        <v>8.77948175375</v>
      </c>
      <c r="E210" s="63">
        <f t="shared" si="6"/>
        <v>8.77948175375</v>
      </c>
      <c r="F210" s="66"/>
      <c r="G210" s="65"/>
    </row>
    <row r="211" spans="1:7" ht="12.75">
      <c r="A211" s="59">
        <v>68</v>
      </c>
      <c r="C211" s="67">
        <f t="shared" si="7"/>
        <v>8.77948175375</v>
      </c>
      <c r="E211" s="63">
        <f t="shared" si="6"/>
        <v>8.77948175375</v>
      </c>
      <c r="F211" s="66"/>
      <c r="G211" s="65"/>
    </row>
    <row r="212" spans="1:7" ht="12.75">
      <c r="A212" s="59">
        <v>69</v>
      </c>
      <c r="C212" s="67">
        <f t="shared" si="7"/>
        <v>8.77948175375</v>
      </c>
      <c r="E212" s="63">
        <f aca="true" t="shared" si="8" ref="E212:E221">C212</f>
        <v>8.77948175375</v>
      </c>
      <c r="F212" s="66"/>
      <c r="G212" s="65"/>
    </row>
    <row r="213" spans="1:7" ht="12.75">
      <c r="A213" s="59">
        <v>70</v>
      </c>
      <c r="C213" s="67">
        <f t="shared" si="7"/>
        <v>8.77948175375</v>
      </c>
      <c r="E213" s="63">
        <f t="shared" si="8"/>
        <v>8.77948175375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8.77948175375</v>
      </c>
      <c r="E214" s="63">
        <f t="shared" si="8"/>
        <v>8.77948175375</v>
      </c>
      <c r="F214" s="66"/>
      <c r="G214" s="65"/>
    </row>
    <row r="215" spans="1:7" ht="12.75">
      <c r="A215" s="59">
        <v>72</v>
      </c>
      <c r="C215" s="67">
        <f t="shared" si="9"/>
        <v>8.77948175375</v>
      </c>
      <c r="E215" s="63">
        <f t="shared" si="8"/>
        <v>8.77948175375</v>
      </c>
      <c r="F215" s="66"/>
      <c r="G215" s="65"/>
    </row>
    <row r="216" spans="1:7" ht="12.75">
      <c r="A216" s="59">
        <v>73</v>
      </c>
      <c r="C216" s="67">
        <f t="shared" si="9"/>
        <v>8.77948175375</v>
      </c>
      <c r="E216" s="63">
        <f t="shared" si="8"/>
        <v>8.77948175375</v>
      </c>
      <c r="F216" s="66"/>
      <c r="G216" s="65"/>
    </row>
    <row r="217" spans="1:7" ht="12.75">
      <c r="A217" s="59">
        <v>74</v>
      </c>
      <c r="C217" s="67">
        <f t="shared" si="9"/>
        <v>8.77948175375</v>
      </c>
      <c r="E217" s="63">
        <f t="shared" si="8"/>
        <v>8.77948175375</v>
      </c>
      <c r="F217" s="66"/>
      <c r="G217" s="65"/>
    </row>
    <row r="218" spans="1:7" ht="12.75">
      <c r="A218" s="59">
        <v>75</v>
      </c>
      <c r="C218" s="67">
        <f t="shared" si="9"/>
        <v>8.77948175375</v>
      </c>
      <c r="E218" s="63">
        <f t="shared" si="8"/>
        <v>8.77948175375</v>
      </c>
      <c r="F218" s="66"/>
      <c r="G218" s="65"/>
    </row>
    <row r="219" spans="1:7" ht="12.75">
      <c r="A219" s="59">
        <v>76</v>
      </c>
      <c r="C219" s="67">
        <f t="shared" si="9"/>
        <v>8.77948175375</v>
      </c>
      <c r="E219" s="63">
        <f t="shared" si="8"/>
        <v>8.77948175375</v>
      </c>
      <c r="F219" s="66"/>
      <c r="G219" s="65"/>
    </row>
    <row r="220" spans="1:7" ht="12.75">
      <c r="A220" s="59">
        <v>77</v>
      </c>
      <c r="C220" s="67">
        <f t="shared" si="9"/>
        <v>8.77948175375</v>
      </c>
      <c r="E220" s="63">
        <f t="shared" si="8"/>
        <v>8.77948175375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8.77948175375</v>
      </c>
      <c r="D221" s="142"/>
      <c r="E221" s="140">
        <f t="shared" si="8"/>
        <v>8.77948175375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221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26.95</v>
      </c>
      <c r="C4" s="2">
        <f>Param!C41</f>
        <v>1.1</v>
      </c>
      <c r="D4" s="2">
        <f aca="true" t="shared" si="0" ref="D4:D9">B4*C4</f>
        <v>29.645000000000003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55.76</v>
      </c>
      <c r="C5" s="2">
        <f>Param!C44</f>
        <v>0.01</v>
      </c>
      <c r="D5" s="2">
        <f t="shared" si="0"/>
        <v>0.5576</v>
      </c>
      <c r="F5" s="42" t="s">
        <v>113</v>
      </c>
      <c r="G5" s="106">
        <f>Param!$C$9</f>
        <v>22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F6" s="74" t="s">
        <v>105</v>
      </c>
      <c r="G6" s="29">
        <f>Param!C12</f>
        <v>26.95</v>
      </c>
    </row>
    <row r="7" spans="1:8" ht="12.75">
      <c r="A7" s="2" t="s">
        <v>184</v>
      </c>
      <c r="B7" s="14">
        <f>G6</f>
        <v>26.95</v>
      </c>
      <c r="C7" s="2">
        <f>Param!$C$45</f>
        <v>0.13</v>
      </c>
      <c r="D7" s="2">
        <f t="shared" si="0"/>
        <v>3.5035</v>
      </c>
      <c r="F7" s="45" t="s">
        <v>153</v>
      </c>
      <c r="G7" s="29">
        <f>Param!C18</f>
        <v>4.5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F8" s="43" t="s">
        <v>154</v>
      </c>
      <c r="G8" s="29">
        <f>Param!C18*(1+Param!B19)</f>
        <v>6.3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F9" s="51" t="s">
        <v>70</v>
      </c>
      <c r="G9" s="130">
        <f>Param!$C$17</f>
        <v>22500</v>
      </c>
    </row>
    <row r="10" spans="1:7" ht="12.75">
      <c r="A10" s="15" t="s">
        <v>90</v>
      </c>
      <c r="B10" s="103"/>
      <c r="C10" s="102"/>
      <c r="D10" s="15">
        <f>SUM(D4:D9)</f>
        <v>44.43710000000001</v>
      </c>
      <c r="F10" s="51" t="s">
        <v>171</v>
      </c>
      <c r="G10" s="131">
        <f>G9*365</f>
        <v>8212500</v>
      </c>
    </row>
    <row r="11" spans="2:7" ht="12.75">
      <c r="B11" s="11"/>
      <c r="F11" s="51" t="s">
        <v>375</v>
      </c>
      <c r="G11" s="131">
        <f>G7*G10</f>
        <v>36956250</v>
      </c>
    </row>
    <row r="12" spans="1:7" ht="12.75">
      <c r="A12" s="2" t="s">
        <v>93</v>
      </c>
      <c r="B12" s="10">
        <f>$G$5*Param!$C$46</f>
        <v>22</v>
      </c>
      <c r="C12" s="2">
        <f>Param!E46</f>
        <v>0.2</v>
      </c>
      <c r="D12" s="2">
        <f>B12*C12</f>
        <v>4.4</v>
      </c>
      <c r="F12" s="51" t="s">
        <v>376</v>
      </c>
      <c r="G12" s="131">
        <f>G8*G10</f>
        <v>51738750</v>
      </c>
    </row>
    <row r="13" spans="1:7" ht="13.5" thickBot="1">
      <c r="A13" s="4" t="s">
        <v>72</v>
      </c>
      <c r="B13" s="4">
        <f>$G$5*Param!$C$47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4500</v>
      </c>
    </row>
    <row r="14" spans="1:7" ht="12.75">
      <c r="A14" s="104" t="s">
        <v>110</v>
      </c>
      <c r="B14" s="101"/>
      <c r="C14" s="100"/>
      <c r="D14" s="104">
        <f>SUM(D12:D13)</f>
        <v>4.4</v>
      </c>
      <c r="E14" s="6"/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48.83710000000001</v>
      </c>
      <c r="F16" s="45" t="s">
        <v>178</v>
      </c>
      <c r="G16" s="260">
        <f>Param!C31</f>
        <v>2.475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1.037037037037037</v>
      </c>
      <c r="D18" s="18">
        <f>C18+B18</f>
        <v>4.037037037037037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52.874137037037045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22</v>
      </c>
      <c r="C23" s="2">
        <f>Param!C53</f>
        <v>0.1</v>
      </c>
      <c r="D23" s="2">
        <f>B23*C23</f>
        <v>2.2</v>
      </c>
    </row>
    <row r="24" spans="1:4" ht="12.75">
      <c r="A24" s="2" t="s">
        <v>6</v>
      </c>
      <c r="B24" s="11">
        <f>B12+B13</f>
        <v>22</v>
      </c>
      <c r="C24" s="2">
        <f>Param!C51</f>
        <v>0.005</v>
      </c>
      <c r="D24" s="2">
        <f>B24*C24</f>
        <v>0.11</v>
      </c>
    </row>
    <row r="25" spans="1:5" ht="13.5" thickBot="1">
      <c r="A25" s="4" t="s">
        <v>16</v>
      </c>
      <c r="B25" s="123">
        <f>$G$5</f>
        <v>22</v>
      </c>
      <c r="C25" s="26">
        <f>Param!C54</f>
        <v>0.01</v>
      </c>
      <c r="D25" s="4">
        <f>B25*C25+Param!C52</f>
        <v>1.22</v>
      </c>
      <c r="E25" s="1"/>
    </row>
    <row r="26" spans="1:5" ht="12.75">
      <c r="A26" s="15" t="s">
        <v>91</v>
      </c>
      <c r="B26" s="16"/>
      <c r="C26" s="17"/>
      <c r="D26" s="15">
        <f>SUM(D22:D25)</f>
        <v>3.58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56.45413703703704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518.5185185185185</v>
      </c>
      <c r="C30" s="17">
        <f>Param!$C$58</f>
        <v>0.025</v>
      </c>
      <c r="D30" s="15">
        <f>B30*C30</f>
        <v>12.962962962962962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69.4171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3.4708550000000002</v>
      </c>
      <c r="D34" s="88">
        <f>B34+C34</f>
        <v>8.470855</v>
      </c>
    </row>
    <row r="35" spans="1:4" ht="13.5" thickBot="1">
      <c r="A35" s="4" t="s">
        <v>98</v>
      </c>
      <c r="B35" s="4">
        <f>Param!B61</f>
        <v>0</v>
      </c>
      <c r="C35" s="4">
        <f>Param!C61*D32</f>
        <v>3.4708550000000002</v>
      </c>
      <c r="D35" s="4">
        <f>B35+C35</f>
        <v>3.4708550000000002</v>
      </c>
    </row>
    <row r="36" spans="1:5" ht="12.75">
      <c r="A36" s="15" t="s">
        <v>188</v>
      </c>
      <c r="B36" s="16"/>
      <c r="C36" s="17"/>
      <c r="D36" s="15">
        <f>SUM(D34:D35)</f>
        <v>11.94171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81.35881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4.4</v>
      </c>
      <c r="C40" s="2">
        <f>(Param!G49+Param!G50)</f>
        <v>7</v>
      </c>
      <c r="D40" s="84">
        <f>(B40+C40)*Param!H51</f>
        <v>0.7980000000000002</v>
      </c>
    </row>
    <row r="41" spans="1:4" ht="12.75">
      <c r="A41" s="2" t="s">
        <v>8</v>
      </c>
      <c r="B41" s="14">
        <f>G5</f>
        <v>22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51738750</v>
      </c>
      <c r="C42" s="12">
        <f>Param!H38*Param!H39</f>
        <v>0.01125</v>
      </c>
      <c r="D42" s="84">
        <f>(B42*C42)/1000000</f>
        <v>0.5820609375</v>
      </c>
    </row>
    <row r="43" spans="1:4" ht="12.75">
      <c r="A43" s="2" t="s">
        <v>191</v>
      </c>
      <c r="B43" s="35">
        <f>G12</f>
        <v>51738750</v>
      </c>
      <c r="C43" s="12">
        <f>Param!H38*Param!H40</f>
        <v>0.0075</v>
      </c>
      <c r="D43" s="84">
        <f>(B43*C43)/1000000</f>
        <v>0.388040625</v>
      </c>
    </row>
    <row r="44" spans="1:5" ht="12.75">
      <c r="A44" s="2" t="s">
        <v>118</v>
      </c>
      <c r="B44" s="35">
        <f>G12</f>
        <v>51738750</v>
      </c>
      <c r="C44" s="86">
        <f>Param!G43</f>
        <v>0.001</v>
      </c>
      <c r="D44" s="84">
        <f>B44*C44/1000000</f>
        <v>0.05173875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1.3883420000000002</v>
      </c>
      <c r="D45" s="84">
        <f>B45*C45</f>
        <v>0.027766840000000004</v>
      </c>
    </row>
    <row r="46" spans="1:4" ht="12.75">
      <c r="A46" s="2" t="s">
        <v>195</v>
      </c>
      <c r="B46" s="2">
        <f>SUM(D22:D25)</f>
        <v>3.58</v>
      </c>
      <c r="C46" s="12">
        <f>Param!G45</f>
        <v>0.02</v>
      </c>
      <c r="D46" s="84">
        <f>B46*C46</f>
        <v>0.0716</v>
      </c>
    </row>
    <row r="47" spans="1:4" ht="13.5" thickBot="1">
      <c r="A47" s="4" t="s">
        <v>227</v>
      </c>
      <c r="B47" s="123">
        <f>B30</f>
        <v>518.5185185185185</v>
      </c>
      <c r="C47" s="26">
        <f>Param!H46</f>
        <v>0.0002</v>
      </c>
      <c r="D47" s="143">
        <f>B47*C47</f>
        <v>0.1037037037037037</v>
      </c>
    </row>
    <row r="48" spans="1:5" ht="12.75">
      <c r="A48" s="15" t="s">
        <v>23</v>
      </c>
      <c r="B48" s="17"/>
      <c r="C48" s="17"/>
      <c r="D48" s="15">
        <f>SUM(D39:D46)</f>
        <v>1.9192071524999998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0.04566914473684211</v>
      </c>
      <c r="E50" s="10">
        <f t="shared" si="1"/>
        <v>0</v>
      </c>
      <c r="F50" s="44">
        <f>-D57*B57</f>
        <v>11.941710000000002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0.11145861842105263</v>
      </c>
      <c r="E51" s="10">
        <f t="shared" si="1"/>
        <v>0</v>
      </c>
      <c r="F51" s="44">
        <f>-D58*B58</f>
        <v>0.8092972757799624</v>
      </c>
      <c r="G51" s="44">
        <f>F51</f>
        <v>0.8092972757799624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0.7428175925925927</v>
      </c>
      <c r="E52" s="10">
        <f t="shared" si="1"/>
        <v>0</v>
      </c>
      <c r="F52" s="44">
        <f>-D59*B59</f>
        <v>7.7729418451501715</v>
      </c>
      <c r="G52" s="2">
        <f>F52</f>
        <v>7.7729418451501715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0.49857549857549854</v>
      </c>
      <c r="E53" s="10">
        <f t="shared" si="1"/>
        <v>0</v>
      </c>
      <c r="F53" s="44">
        <f>-D60*B60</f>
        <v>6.593900670984032</v>
      </c>
      <c r="G53" s="2">
        <f>F53*2</f>
        <v>13.187801341968065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0.4654</v>
      </c>
      <c r="E54" s="10">
        <f t="shared" si="1"/>
        <v>0</v>
      </c>
      <c r="F54" s="44">
        <f>-D61*B61</f>
        <v>2.627451310906044</v>
      </c>
      <c r="G54" s="5">
        <f>F54*6</f>
        <v>15.764707865436263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1.7067930911680913</v>
      </c>
      <c r="E55" s="10">
        <f t="shared" si="1"/>
        <v>0</v>
      </c>
      <c r="F55" s="44">
        <f>SUM(F51:F54)</f>
        <v>17.80359110282021</v>
      </c>
      <c r="G55" s="1">
        <f>SUM(G51:G54)</f>
        <v>37.53474832833446</v>
      </c>
      <c r="H55" s="1">
        <f>I66*20</f>
        <v>85.97480969548715</v>
      </c>
      <c r="I55" s="1">
        <f>I75*10</f>
        <v>108.5154387168577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0.15712776315789476</v>
      </c>
      <c r="G57" s="2" t="s">
        <v>169</v>
      </c>
      <c r="H57" s="2" t="s">
        <v>170</v>
      </c>
    </row>
    <row r="58" spans="1:9" ht="12.75">
      <c r="A58" s="2" t="s">
        <v>279</v>
      </c>
      <c r="B58" s="14">
        <f>-Param!$G$55</f>
        <v>-76</v>
      </c>
      <c r="C58" s="10">
        <f>Param!$B$38</f>
        <v>0.05</v>
      </c>
      <c r="D58" s="2">
        <f>PMT(C57,B58,D34)</f>
        <v>0.01064864836552582</v>
      </c>
      <c r="E58" s="2">
        <f>D36</f>
        <v>11.94171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0.10227555059408121</v>
      </c>
      <c r="E59" s="2">
        <f>D32</f>
        <v>69.4171</v>
      </c>
      <c r="F59" s="164" t="s">
        <v>28</v>
      </c>
      <c r="G59" s="165">
        <f>$D$67</f>
        <v>1.8972071524999998</v>
      </c>
      <c r="H59" s="166">
        <f>$G$12</f>
        <v>51738750</v>
      </c>
      <c r="I59" s="167">
        <f>(G59/H59)*1000000</f>
        <v>0.03666897929501582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0.25361156426861664</v>
      </c>
      <c r="E60" s="2">
        <f>D30</f>
        <v>12.962962962962962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0.2021116393004649</v>
      </c>
      <c r="E61" s="5">
        <f>D26</f>
        <v>3.58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0.5579987541631628</v>
      </c>
      <c r="E62" s="30">
        <f>SUM(E58:E61)</f>
        <v>97.90177296296297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2.264791845331254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2.905671785714286</v>
      </c>
    </row>
    <row r="65" spans="1:9" ht="12.75">
      <c r="A65" s="24" t="s">
        <v>291</v>
      </c>
      <c r="B65" s="30"/>
      <c r="C65" s="30"/>
      <c r="D65" s="85">
        <f>D48+D64</f>
        <v>4.183998997831254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1.3930686990600716</v>
      </c>
    </row>
    <row r="66" spans="1:9" ht="12.75">
      <c r="A66" s="24" t="s">
        <v>292</v>
      </c>
      <c r="B66" s="30"/>
      <c r="C66" s="30"/>
      <c r="D66" s="85">
        <f>D65-D80</f>
        <v>4.161998997831254</v>
      </c>
      <c r="F66" s="161" t="s">
        <v>212</v>
      </c>
      <c r="G66" s="100"/>
      <c r="H66" s="100"/>
      <c r="I66" s="162">
        <f>SUM(I64:I65)</f>
        <v>4.298740484774358</v>
      </c>
    </row>
    <row r="67" spans="1:9" ht="12.75">
      <c r="A67" s="24" t="s">
        <v>293</v>
      </c>
      <c r="B67" s="30"/>
      <c r="C67" s="30"/>
      <c r="D67" s="85">
        <f>D48-D80</f>
        <v>1.8972071524999998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6.195947637274358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6.195947637274358</v>
      </c>
      <c r="H69" s="166">
        <f>$G$12</f>
        <v>51738750</v>
      </c>
      <c r="I69" s="167">
        <f>(G69/H69)*1000000</f>
        <v>0.11975449034378215</v>
      </c>
    </row>
    <row r="70" spans="1:9" ht="13.5" thickBot="1">
      <c r="A70" s="24" t="s">
        <v>71</v>
      </c>
      <c r="B70" s="124">
        <f>G10</f>
        <v>8212500</v>
      </c>
      <c r="C70" s="125">
        <f>G16</f>
        <v>2.475</v>
      </c>
      <c r="D70" s="47">
        <f>B70*C70*Param!$B$32/1000000</f>
        <v>20.3259375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20.3259375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6.25837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4.59317387168577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10.85154387168577</v>
      </c>
    </row>
    <row r="76" spans="1:9" ht="12.75">
      <c r="A76" s="3" t="s">
        <v>11</v>
      </c>
      <c r="B76" s="11">
        <f>$G$5</f>
        <v>22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22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12.74875102418577</v>
      </c>
    </row>
    <row r="78" spans="1:9" ht="13.5" thickBot="1">
      <c r="A78" s="36" t="s">
        <v>29</v>
      </c>
      <c r="B78" s="107">
        <f>B12+B13</f>
        <v>22</v>
      </c>
      <c r="C78" s="36">
        <f>Param!$G$33</f>
        <v>0.001</v>
      </c>
      <c r="D78" s="36">
        <f>B78*C78</f>
        <v>0.022</v>
      </c>
      <c r="F78" s="164" t="s">
        <v>37</v>
      </c>
      <c r="G78" s="165">
        <f>I77</f>
        <v>12.74875102418577</v>
      </c>
      <c r="H78" s="166">
        <f>$G$12</f>
        <v>51738750</v>
      </c>
      <c r="I78" s="167">
        <f>(G78/H78)*1000000</f>
        <v>0.24640624337050604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0.022</v>
      </c>
      <c r="E80" s="30"/>
    </row>
    <row r="81" spans="1:5" ht="12.75">
      <c r="A81" s="94" t="s">
        <v>35</v>
      </c>
      <c r="B81" s="94"/>
      <c r="C81" s="94"/>
      <c r="D81" s="93">
        <f>$D$72+$D$80</f>
        <v>20.347937499999997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1.9192071524999998</v>
      </c>
    </row>
    <row r="84" spans="1:4" ht="16.5" thickBot="1">
      <c r="A84" s="54" t="s">
        <v>39</v>
      </c>
      <c r="B84" s="55"/>
      <c r="C84" s="55"/>
      <c r="D84" s="55">
        <f>D81-D83</f>
        <v>18.428730347499997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11.94171</v>
      </c>
      <c r="C89" s="59">
        <v>0</v>
      </c>
      <c r="D89" s="59"/>
      <c r="E89" s="63">
        <f>+B89*-1</f>
        <v>-11.94171</v>
      </c>
      <c r="F89" s="64">
        <f>IRR(E89:E101,0.1)</f>
        <v>0.12102402437982358</v>
      </c>
      <c r="G89" s="81">
        <f>NPV(Param!$B$38,E89:E101)</f>
        <v>35.443388675461485</v>
      </c>
    </row>
    <row r="90" spans="1:7" ht="12.75">
      <c r="A90" s="59">
        <v>2</v>
      </c>
      <c r="B90" s="62">
        <f>0.4*D32</f>
        <v>27.766840000000002</v>
      </c>
      <c r="C90" s="59">
        <v>0</v>
      </c>
      <c r="D90" s="59"/>
      <c r="E90" s="63">
        <f>+B90*-1</f>
        <v>-27.766840000000002</v>
      </c>
      <c r="F90" s="65"/>
      <c r="G90" s="65"/>
    </row>
    <row r="91" spans="1:7" ht="12.75">
      <c r="A91" s="59">
        <v>3</v>
      </c>
      <c r="B91" s="62">
        <f>0.6*D32</f>
        <v>41.65026</v>
      </c>
      <c r="C91" s="59">
        <v>0</v>
      </c>
      <c r="D91" s="59"/>
      <c r="E91" s="63">
        <f>+B91*-1</f>
        <v>-41.65026</v>
      </c>
      <c r="F91" s="66"/>
      <c r="G91" s="65"/>
    </row>
    <row r="92" spans="1:7" ht="12.75">
      <c r="A92" s="59">
        <v>4</v>
      </c>
      <c r="B92" s="59"/>
      <c r="C92" s="67">
        <f>$D$84*0.3</f>
        <v>5.528619104249999</v>
      </c>
      <c r="D92" s="59"/>
      <c r="E92" s="63">
        <f aca="true" t="shared" si="2" ref="E92:E101">C92</f>
        <v>5.528619104249999</v>
      </c>
      <c r="F92" s="65"/>
      <c r="G92" s="65"/>
    </row>
    <row r="93" spans="1:7" ht="12.75">
      <c r="A93" s="59">
        <v>5</v>
      </c>
      <c r="B93" s="59"/>
      <c r="C93" s="67">
        <f>$D$84*0.7</f>
        <v>12.900111243249997</v>
      </c>
      <c r="D93" s="59"/>
      <c r="E93" s="63">
        <f t="shared" si="2"/>
        <v>12.900111243249997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18.428730347499997</v>
      </c>
      <c r="D94" s="59"/>
      <c r="E94" s="63">
        <f t="shared" si="2"/>
        <v>18.428730347499997</v>
      </c>
      <c r="F94" s="66"/>
      <c r="G94" s="65"/>
    </row>
    <row r="95" spans="1:7" ht="12.75">
      <c r="A95" s="59">
        <v>7</v>
      </c>
      <c r="B95" s="59"/>
      <c r="C95" s="67">
        <f t="shared" si="3"/>
        <v>18.428730347499997</v>
      </c>
      <c r="D95" s="59"/>
      <c r="E95" s="63">
        <f t="shared" si="2"/>
        <v>18.428730347499997</v>
      </c>
      <c r="F95" s="66"/>
      <c r="G95" s="65"/>
    </row>
    <row r="96" spans="1:7" ht="12.75">
      <c r="A96" s="59">
        <v>8</v>
      </c>
      <c r="B96" s="59"/>
      <c r="C96" s="67">
        <f t="shared" si="3"/>
        <v>18.428730347499997</v>
      </c>
      <c r="D96" s="59"/>
      <c r="E96" s="63">
        <f t="shared" si="2"/>
        <v>18.428730347499997</v>
      </c>
      <c r="F96" s="66"/>
      <c r="G96" s="65"/>
    </row>
    <row r="97" spans="1:7" ht="12.75">
      <c r="A97" s="59">
        <v>9</v>
      </c>
      <c r="B97" s="59"/>
      <c r="C97" s="67">
        <f t="shared" si="3"/>
        <v>18.428730347499997</v>
      </c>
      <c r="D97" s="59"/>
      <c r="E97" s="63">
        <f t="shared" si="2"/>
        <v>18.428730347499997</v>
      </c>
      <c r="F97" s="66"/>
      <c r="G97" s="65"/>
    </row>
    <row r="98" spans="1:7" ht="12.75">
      <c r="A98" s="59">
        <v>10</v>
      </c>
      <c r="B98" s="59"/>
      <c r="C98" s="67">
        <f t="shared" si="3"/>
        <v>18.428730347499997</v>
      </c>
      <c r="D98" s="59"/>
      <c r="E98" s="63">
        <f t="shared" si="2"/>
        <v>18.428730347499997</v>
      </c>
      <c r="F98" s="66"/>
      <c r="G98" s="65"/>
    </row>
    <row r="99" spans="1:7" ht="12.75">
      <c r="A99" s="59">
        <v>11</v>
      </c>
      <c r="B99" s="59"/>
      <c r="C99" s="67">
        <f t="shared" si="3"/>
        <v>18.428730347499997</v>
      </c>
      <c r="D99" s="59"/>
      <c r="E99" s="63">
        <f t="shared" si="2"/>
        <v>18.428730347499997</v>
      </c>
      <c r="F99" s="66"/>
      <c r="G99" s="65"/>
    </row>
    <row r="100" spans="1:7" ht="12.75">
      <c r="A100" s="59">
        <v>12</v>
      </c>
      <c r="B100" s="59"/>
      <c r="C100" s="67">
        <f t="shared" si="3"/>
        <v>18.428730347499997</v>
      </c>
      <c r="D100" s="59"/>
      <c r="E100" s="63">
        <f t="shared" si="2"/>
        <v>18.428730347499997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18.428730347499997</v>
      </c>
      <c r="D101" s="138"/>
      <c r="E101" s="140">
        <f t="shared" si="2"/>
        <v>18.428730347499997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20.347937499999997</v>
      </c>
    </row>
    <row r="104" spans="1:4" ht="12.75">
      <c r="A104" s="53" t="s">
        <v>290</v>
      </c>
      <c r="B104" s="53"/>
      <c r="C104" s="53"/>
      <c r="D104" s="53">
        <f>$D$48</f>
        <v>1.9192071524999998</v>
      </c>
    </row>
    <row r="105" spans="1:4" ht="16.5" thickBot="1">
      <c r="A105" s="54" t="s">
        <v>197</v>
      </c>
      <c r="B105" s="55"/>
      <c r="C105" s="55"/>
      <c r="D105" s="55">
        <f>D103-D104</f>
        <v>18.428730347499997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11.94171</v>
      </c>
      <c r="C109" s="59">
        <v>0</v>
      </c>
      <c r="D109" s="59"/>
      <c r="E109" s="63">
        <f>+B109*-1</f>
        <v>-11.94171</v>
      </c>
      <c r="F109" s="64">
        <f>IRR(E109:E136,0.1)</f>
        <v>0.17116249810764855</v>
      </c>
      <c r="G109" s="81">
        <f>NPV(Param!$B$38,E109:E136)</f>
        <v>136.88533500128605</v>
      </c>
    </row>
    <row r="110" spans="1:7" ht="12.75">
      <c r="A110" s="59">
        <v>2</v>
      </c>
      <c r="B110" s="62">
        <f>0.4*D32</f>
        <v>27.766840000000002</v>
      </c>
      <c r="C110" s="59">
        <v>0</v>
      </c>
      <c r="D110" s="59"/>
      <c r="E110" s="63">
        <f>+B110*-1</f>
        <v>-27.766840000000002</v>
      </c>
      <c r="F110" s="65"/>
      <c r="G110" s="65"/>
    </row>
    <row r="111" spans="1:7" ht="12.75">
      <c r="A111" s="59">
        <v>3</v>
      </c>
      <c r="B111" s="62">
        <f>0.6*D32</f>
        <v>41.65026</v>
      </c>
      <c r="C111" s="59">
        <v>0</v>
      </c>
      <c r="D111" s="59"/>
      <c r="E111" s="63">
        <f>+B111*-1</f>
        <v>-41.65026</v>
      </c>
      <c r="F111" s="66"/>
      <c r="G111" s="65"/>
    </row>
    <row r="112" spans="1:7" ht="12.75">
      <c r="A112" s="59">
        <v>4</v>
      </c>
      <c r="B112" s="59"/>
      <c r="C112" s="67">
        <f>$D$105*0.3</f>
        <v>5.528619104249999</v>
      </c>
      <c r="D112" s="59"/>
      <c r="E112" s="63">
        <f>C112</f>
        <v>5.528619104249999</v>
      </c>
      <c r="F112" s="65"/>
      <c r="G112" s="65"/>
    </row>
    <row r="113" spans="1:7" ht="12.75">
      <c r="A113" s="59">
        <v>5</v>
      </c>
      <c r="B113" s="59"/>
      <c r="C113" s="67">
        <f>$D$105*0.7</f>
        <v>12.900111243249997</v>
      </c>
      <c r="D113" s="59"/>
      <c r="E113" s="63">
        <f aca="true" t="shared" si="4" ref="E113:E136">C113</f>
        <v>12.900111243249997</v>
      </c>
      <c r="F113" s="66"/>
      <c r="G113" s="65"/>
    </row>
    <row r="114" spans="1:7" ht="12.75">
      <c r="A114" s="59">
        <v>6</v>
      </c>
      <c r="B114" s="59"/>
      <c r="C114" s="67">
        <f>$D$105</f>
        <v>18.428730347499997</v>
      </c>
      <c r="D114" s="59"/>
      <c r="E114" s="63">
        <f t="shared" si="4"/>
        <v>18.428730347499997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18.428730347499997</v>
      </c>
      <c r="D115" s="59"/>
      <c r="E115" s="63">
        <f t="shared" si="4"/>
        <v>18.428730347499997</v>
      </c>
      <c r="F115" s="66"/>
      <c r="G115" s="65"/>
    </row>
    <row r="116" spans="1:7" ht="12.75">
      <c r="A116" s="59">
        <v>8</v>
      </c>
      <c r="B116" s="59"/>
      <c r="C116" s="67">
        <f t="shared" si="5"/>
        <v>18.428730347499997</v>
      </c>
      <c r="D116" s="59"/>
      <c r="E116" s="63">
        <f t="shared" si="4"/>
        <v>18.428730347499997</v>
      </c>
      <c r="F116" s="66"/>
      <c r="G116" s="65"/>
    </row>
    <row r="117" spans="1:7" ht="12.75">
      <c r="A117" s="59">
        <v>9</v>
      </c>
      <c r="B117" s="59"/>
      <c r="C117" s="67">
        <f t="shared" si="5"/>
        <v>18.428730347499997</v>
      </c>
      <c r="D117" s="59"/>
      <c r="E117" s="63">
        <f t="shared" si="4"/>
        <v>18.428730347499997</v>
      </c>
      <c r="F117" s="66"/>
      <c r="G117" s="65"/>
    </row>
    <row r="118" spans="1:7" ht="12.75">
      <c r="A118" s="59">
        <v>10</v>
      </c>
      <c r="B118" s="59"/>
      <c r="C118" s="67">
        <f t="shared" si="5"/>
        <v>18.428730347499997</v>
      </c>
      <c r="D118" s="59"/>
      <c r="E118" s="63">
        <f t="shared" si="4"/>
        <v>18.428730347499997</v>
      </c>
      <c r="F118" s="66"/>
      <c r="G118" s="65"/>
    </row>
    <row r="119" spans="1:7" ht="12.75">
      <c r="A119" s="59">
        <v>11</v>
      </c>
      <c r="B119" s="59"/>
      <c r="C119" s="67">
        <f t="shared" si="5"/>
        <v>18.428730347499997</v>
      </c>
      <c r="D119" s="59"/>
      <c r="E119" s="63">
        <f t="shared" si="4"/>
        <v>18.428730347499997</v>
      </c>
      <c r="F119" s="66"/>
      <c r="G119" s="65"/>
    </row>
    <row r="120" spans="1:7" ht="12.75">
      <c r="A120" s="59">
        <v>12</v>
      </c>
      <c r="B120" s="59"/>
      <c r="C120" s="67">
        <f t="shared" si="5"/>
        <v>18.428730347499997</v>
      </c>
      <c r="D120" s="59"/>
      <c r="E120" s="63">
        <f t="shared" si="4"/>
        <v>18.428730347499997</v>
      </c>
      <c r="F120" s="66"/>
      <c r="G120" s="65"/>
    </row>
    <row r="121" spans="1:7" ht="12.75">
      <c r="A121" s="59">
        <v>13</v>
      </c>
      <c r="B121" s="59"/>
      <c r="C121" s="67">
        <f t="shared" si="5"/>
        <v>18.428730347499997</v>
      </c>
      <c r="D121" s="59"/>
      <c r="E121" s="63">
        <f t="shared" si="4"/>
        <v>18.428730347499997</v>
      </c>
      <c r="F121" s="66"/>
      <c r="G121" s="65"/>
    </row>
    <row r="122" spans="1:7" ht="12.75">
      <c r="A122" s="59">
        <v>14</v>
      </c>
      <c r="B122" s="59"/>
      <c r="C122" s="67">
        <f t="shared" si="5"/>
        <v>18.428730347499997</v>
      </c>
      <c r="D122" s="59"/>
      <c r="E122" s="63">
        <f t="shared" si="4"/>
        <v>18.428730347499997</v>
      </c>
      <c r="F122" s="66"/>
      <c r="G122" s="65"/>
    </row>
    <row r="123" spans="1:7" ht="12.75">
      <c r="A123" s="59">
        <v>15</v>
      </c>
      <c r="B123" s="59"/>
      <c r="C123" s="67">
        <f t="shared" si="5"/>
        <v>18.428730347499997</v>
      </c>
      <c r="D123" s="59"/>
      <c r="E123" s="63">
        <f t="shared" si="4"/>
        <v>18.428730347499997</v>
      </c>
      <c r="F123" s="66"/>
      <c r="G123" s="65"/>
    </row>
    <row r="124" spans="1:7" ht="12.75">
      <c r="A124" s="59">
        <v>16</v>
      </c>
      <c r="B124" s="59"/>
      <c r="C124" s="67">
        <f t="shared" si="5"/>
        <v>18.428730347499997</v>
      </c>
      <c r="D124" s="59"/>
      <c r="E124" s="63">
        <f t="shared" si="4"/>
        <v>18.428730347499997</v>
      </c>
      <c r="F124" s="66"/>
      <c r="G124" s="65"/>
    </row>
    <row r="125" spans="1:7" ht="12.75">
      <c r="A125" s="59">
        <v>17</v>
      </c>
      <c r="B125" s="59"/>
      <c r="C125" s="67">
        <f t="shared" si="5"/>
        <v>18.428730347499997</v>
      </c>
      <c r="D125" s="59"/>
      <c r="E125" s="63">
        <f t="shared" si="4"/>
        <v>18.428730347499997</v>
      </c>
      <c r="F125" s="66"/>
      <c r="G125" s="65"/>
    </row>
    <row r="126" spans="1:7" ht="12.75">
      <c r="A126" s="59">
        <v>18</v>
      </c>
      <c r="B126" s="59"/>
      <c r="C126" s="67">
        <f t="shared" si="5"/>
        <v>18.428730347499997</v>
      </c>
      <c r="D126" s="59"/>
      <c r="E126" s="63">
        <f t="shared" si="4"/>
        <v>18.428730347499997</v>
      </c>
      <c r="F126" s="66"/>
      <c r="G126" s="65"/>
    </row>
    <row r="127" spans="1:7" ht="12.75">
      <c r="A127" s="59">
        <v>19</v>
      </c>
      <c r="B127" s="59"/>
      <c r="C127" s="67">
        <f t="shared" si="5"/>
        <v>18.428730347499997</v>
      </c>
      <c r="D127" s="59"/>
      <c r="E127" s="63">
        <f t="shared" si="4"/>
        <v>18.428730347499997</v>
      </c>
      <c r="F127" s="66"/>
      <c r="G127" s="65"/>
    </row>
    <row r="128" spans="1:7" ht="12.75">
      <c r="A128" s="59">
        <v>20</v>
      </c>
      <c r="B128" s="59"/>
      <c r="C128" s="67">
        <f t="shared" si="5"/>
        <v>18.428730347499997</v>
      </c>
      <c r="D128" s="59"/>
      <c r="E128" s="63">
        <f t="shared" si="4"/>
        <v>18.428730347499997</v>
      </c>
      <c r="F128" s="66"/>
      <c r="G128" s="65"/>
    </row>
    <row r="129" spans="1:7" ht="12.75">
      <c r="A129" s="59">
        <v>21</v>
      </c>
      <c r="B129" s="59"/>
      <c r="C129" s="67">
        <f t="shared" si="5"/>
        <v>18.428730347499997</v>
      </c>
      <c r="D129" s="59"/>
      <c r="E129" s="63">
        <f t="shared" si="4"/>
        <v>18.428730347499997</v>
      </c>
      <c r="F129" s="66"/>
      <c r="G129" s="65"/>
    </row>
    <row r="130" spans="1:7" ht="12.75">
      <c r="A130" s="59">
        <v>22</v>
      </c>
      <c r="B130" s="59"/>
      <c r="C130" s="67">
        <f t="shared" si="5"/>
        <v>18.428730347499997</v>
      </c>
      <c r="D130" s="59"/>
      <c r="E130" s="63">
        <f t="shared" si="4"/>
        <v>18.428730347499997</v>
      </c>
      <c r="F130" s="66"/>
      <c r="G130" s="65"/>
    </row>
    <row r="131" spans="1:7" ht="12.75">
      <c r="A131" s="59">
        <v>23</v>
      </c>
      <c r="B131" s="59"/>
      <c r="C131" s="67">
        <f t="shared" si="5"/>
        <v>18.428730347499997</v>
      </c>
      <c r="D131" s="59"/>
      <c r="E131" s="63">
        <f t="shared" si="4"/>
        <v>18.428730347499997</v>
      </c>
      <c r="F131" s="66"/>
      <c r="G131" s="65"/>
    </row>
    <row r="132" spans="1:7" ht="12.75">
      <c r="A132" s="59">
        <v>24</v>
      </c>
      <c r="B132" s="59"/>
      <c r="C132" s="67">
        <f t="shared" si="5"/>
        <v>18.428730347499997</v>
      </c>
      <c r="D132" s="59"/>
      <c r="E132" s="63">
        <f t="shared" si="4"/>
        <v>18.428730347499997</v>
      </c>
      <c r="F132" s="66"/>
      <c r="G132" s="65"/>
    </row>
    <row r="133" spans="1:7" ht="12.75">
      <c r="A133" s="59">
        <v>25</v>
      </c>
      <c r="B133" s="59"/>
      <c r="C133" s="67">
        <f t="shared" si="5"/>
        <v>18.428730347499997</v>
      </c>
      <c r="D133" s="59"/>
      <c r="E133" s="63">
        <f t="shared" si="4"/>
        <v>18.428730347499997</v>
      </c>
      <c r="F133" s="66"/>
      <c r="G133" s="65"/>
    </row>
    <row r="134" spans="1:7" ht="12.75">
      <c r="A134" s="59">
        <v>26</v>
      </c>
      <c r="B134" s="59"/>
      <c r="C134" s="67">
        <f t="shared" si="5"/>
        <v>18.428730347499997</v>
      </c>
      <c r="D134" s="59"/>
      <c r="E134" s="63">
        <f t="shared" si="4"/>
        <v>18.428730347499997</v>
      </c>
      <c r="F134" s="66"/>
      <c r="G134" s="65"/>
    </row>
    <row r="135" spans="1:7" ht="12.75">
      <c r="A135" s="59">
        <v>27</v>
      </c>
      <c r="B135" s="59"/>
      <c r="C135" s="67">
        <f t="shared" si="5"/>
        <v>18.428730347499997</v>
      </c>
      <c r="D135" s="59"/>
      <c r="E135" s="63">
        <f t="shared" si="4"/>
        <v>18.428730347499997</v>
      </c>
      <c r="F135" s="66"/>
      <c r="G135" s="65"/>
    </row>
    <row r="136" spans="1:7" ht="13.5" thickBot="1">
      <c r="A136" s="138">
        <v>28</v>
      </c>
      <c r="B136" s="138"/>
      <c r="C136" s="139">
        <f>$D$84</f>
        <v>18.428730347499997</v>
      </c>
      <c r="D136" s="138"/>
      <c r="E136" s="140">
        <f t="shared" si="4"/>
        <v>18.428730347499997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20.347937499999997</v>
      </c>
    </row>
    <row r="139" spans="1:4" ht="12.75">
      <c r="A139" s="53" t="s">
        <v>48</v>
      </c>
      <c r="B139" s="53"/>
      <c r="C139" s="53"/>
      <c r="D139" s="53">
        <f>$D$48</f>
        <v>1.9192071524999998</v>
      </c>
    </row>
    <row r="140" spans="1:4" ht="16.5" thickBot="1">
      <c r="A140" s="54" t="s">
        <v>196</v>
      </c>
      <c r="B140" s="55"/>
      <c r="C140" s="55"/>
      <c r="D140" s="55">
        <f>D138-D139</f>
        <v>18.428730347499997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11.94171</v>
      </c>
      <c r="C144" s="59">
        <v>0</v>
      </c>
      <c r="D144" s="59"/>
      <c r="E144" s="63">
        <f>+B144*-1</f>
        <v>-11.94171</v>
      </c>
      <c r="F144" s="64">
        <f>IRR(E144:E221,0.1)</f>
        <v>0.1743162772106869</v>
      </c>
      <c r="G144" s="81">
        <f>NPV(Param!$B$38,E144:E221)</f>
        <v>222.70738720257165</v>
      </c>
    </row>
    <row r="145" spans="1:7" ht="12.75">
      <c r="A145" s="59">
        <v>2</v>
      </c>
      <c r="B145" s="62">
        <f>0.4*D32</f>
        <v>27.766840000000002</v>
      </c>
      <c r="C145" s="59">
        <v>0</v>
      </c>
      <c r="D145" s="59"/>
      <c r="E145" s="63">
        <f>+B145*-1</f>
        <v>-27.766840000000002</v>
      </c>
      <c r="F145" s="65"/>
      <c r="G145" s="65"/>
    </row>
    <row r="146" spans="1:7" ht="12.75">
      <c r="A146" s="59">
        <v>3</v>
      </c>
      <c r="B146" s="62">
        <f>0.6*D32</f>
        <v>41.65026</v>
      </c>
      <c r="C146" s="59">
        <v>0</v>
      </c>
      <c r="D146" s="59"/>
      <c r="E146" s="63">
        <f>+B146*-1</f>
        <v>-41.65026</v>
      </c>
      <c r="F146" s="66"/>
      <c r="G146" s="65"/>
    </row>
    <row r="147" spans="1:7" ht="12.75">
      <c r="A147" s="59">
        <v>4</v>
      </c>
      <c r="B147" s="59"/>
      <c r="C147" s="67">
        <f>$D$140*0.3</f>
        <v>5.528619104249999</v>
      </c>
      <c r="D147" s="59"/>
      <c r="E147" s="63">
        <f>C147</f>
        <v>5.528619104249999</v>
      </c>
      <c r="F147" s="65"/>
      <c r="G147" s="65"/>
    </row>
    <row r="148" spans="1:7" ht="12.75">
      <c r="A148" s="59">
        <v>5</v>
      </c>
      <c r="B148" s="59"/>
      <c r="C148" s="67">
        <f>$D$140*0.7</f>
        <v>12.900111243249997</v>
      </c>
      <c r="D148" s="59"/>
      <c r="E148" s="63">
        <f aca="true" t="shared" si="6" ref="E148:E211">C148</f>
        <v>12.900111243249997</v>
      </c>
      <c r="F148" s="66"/>
      <c r="G148" s="65"/>
    </row>
    <row r="149" spans="1:7" ht="12.75">
      <c r="A149" s="59">
        <v>6</v>
      </c>
      <c r="B149" s="59"/>
      <c r="C149" s="67">
        <f>$D$140</f>
        <v>18.428730347499997</v>
      </c>
      <c r="D149" s="59"/>
      <c r="E149" s="63">
        <f t="shared" si="6"/>
        <v>18.428730347499997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18.428730347499997</v>
      </c>
      <c r="D150" s="59"/>
      <c r="E150" s="63">
        <f t="shared" si="6"/>
        <v>18.428730347499997</v>
      </c>
      <c r="F150" s="66"/>
      <c r="G150" s="65"/>
    </row>
    <row r="151" spans="1:7" ht="12.75">
      <c r="A151" s="59">
        <v>8</v>
      </c>
      <c r="B151" s="59"/>
      <c r="C151" s="67">
        <f t="shared" si="7"/>
        <v>18.428730347499997</v>
      </c>
      <c r="D151" s="59"/>
      <c r="E151" s="63">
        <f t="shared" si="6"/>
        <v>18.428730347499997</v>
      </c>
      <c r="F151" s="66"/>
      <c r="G151" s="65"/>
    </row>
    <row r="152" spans="1:7" ht="12.75">
      <c r="A152" s="59">
        <v>9</v>
      </c>
      <c r="B152" s="59"/>
      <c r="C152" s="67">
        <f t="shared" si="7"/>
        <v>18.428730347499997</v>
      </c>
      <c r="D152" s="59"/>
      <c r="E152" s="63">
        <f t="shared" si="6"/>
        <v>18.428730347499997</v>
      </c>
      <c r="F152" s="66"/>
      <c r="G152" s="65"/>
    </row>
    <row r="153" spans="1:7" ht="12.75">
      <c r="A153" s="59">
        <v>10</v>
      </c>
      <c r="B153" s="59"/>
      <c r="C153" s="67">
        <f t="shared" si="7"/>
        <v>18.428730347499997</v>
      </c>
      <c r="D153" s="59"/>
      <c r="E153" s="63">
        <f t="shared" si="6"/>
        <v>18.428730347499997</v>
      </c>
      <c r="F153" s="66"/>
      <c r="G153" s="65"/>
    </row>
    <row r="154" spans="1:7" ht="12.75">
      <c r="A154" s="59">
        <v>11</v>
      </c>
      <c r="C154" s="67">
        <f t="shared" si="7"/>
        <v>18.428730347499997</v>
      </c>
      <c r="E154" s="63">
        <f t="shared" si="6"/>
        <v>18.428730347499997</v>
      </c>
      <c r="F154" s="66"/>
      <c r="G154" s="65"/>
    </row>
    <row r="155" spans="1:7" ht="12.75">
      <c r="A155" s="59">
        <v>12</v>
      </c>
      <c r="C155" s="67">
        <f t="shared" si="7"/>
        <v>18.428730347499997</v>
      </c>
      <c r="E155" s="63">
        <f t="shared" si="6"/>
        <v>18.428730347499997</v>
      </c>
      <c r="F155" s="66"/>
      <c r="G155" s="65"/>
    </row>
    <row r="156" spans="1:7" ht="12.75">
      <c r="A156" s="59">
        <v>13</v>
      </c>
      <c r="C156" s="67">
        <f t="shared" si="7"/>
        <v>18.428730347499997</v>
      </c>
      <c r="E156" s="63">
        <f t="shared" si="6"/>
        <v>18.428730347499997</v>
      </c>
      <c r="F156" s="66"/>
      <c r="G156" s="65"/>
    </row>
    <row r="157" spans="1:7" ht="12.75">
      <c r="A157" s="59">
        <v>14</v>
      </c>
      <c r="C157" s="67">
        <f t="shared" si="7"/>
        <v>18.428730347499997</v>
      </c>
      <c r="E157" s="63">
        <f t="shared" si="6"/>
        <v>18.428730347499997</v>
      </c>
      <c r="F157" s="66"/>
      <c r="G157" s="65"/>
    </row>
    <row r="158" spans="1:7" ht="12.75">
      <c r="A158" s="59">
        <v>15</v>
      </c>
      <c r="C158" s="67">
        <f t="shared" si="7"/>
        <v>18.428730347499997</v>
      </c>
      <c r="E158" s="63">
        <f t="shared" si="6"/>
        <v>18.428730347499997</v>
      </c>
      <c r="F158" s="66"/>
      <c r="G158" s="65"/>
    </row>
    <row r="159" spans="1:7" ht="12.75">
      <c r="A159" s="59">
        <v>16</v>
      </c>
      <c r="C159" s="67">
        <f t="shared" si="7"/>
        <v>18.428730347499997</v>
      </c>
      <c r="E159" s="63">
        <f t="shared" si="6"/>
        <v>18.428730347499997</v>
      </c>
      <c r="F159" s="66"/>
      <c r="G159" s="65"/>
    </row>
    <row r="160" spans="1:7" ht="12.75">
      <c r="A160" s="59">
        <v>17</v>
      </c>
      <c r="C160" s="67">
        <f t="shared" si="7"/>
        <v>18.428730347499997</v>
      </c>
      <c r="E160" s="63">
        <f t="shared" si="6"/>
        <v>18.428730347499997</v>
      </c>
      <c r="F160" s="66"/>
      <c r="G160" s="65"/>
    </row>
    <row r="161" spans="1:7" ht="12.75">
      <c r="A161" s="59">
        <v>18</v>
      </c>
      <c r="C161" s="67">
        <f t="shared" si="7"/>
        <v>18.428730347499997</v>
      </c>
      <c r="E161" s="63">
        <f t="shared" si="6"/>
        <v>18.428730347499997</v>
      </c>
      <c r="F161" s="66"/>
      <c r="G161" s="65"/>
    </row>
    <row r="162" spans="1:7" ht="12.75">
      <c r="A162" s="59">
        <v>19</v>
      </c>
      <c r="C162" s="67">
        <f t="shared" si="7"/>
        <v>18.428730347499997</v>
      </c>
      <c r="E162" s="63">
        <f t="shared" si="6"/>
        <v>18.428730347499997</v>
      </c>
      <c r="F162" s="66"/>
      <c r="G162" s="65"/>
    </row>
    <row r="163" spans="1:7" ht="12.75">
      <c r="A163" s="59">
        <v>20</v>
      </c>
      <c r="C163" s="67">
        <f t="shared" si="7"/>
        <v>18.428730347499997</v>
      </c>
      <c r="E163" s="63">
        <f t="shared" si="6"/>
        <v>18.428730347499997</v>
      </c>
      <c r="F163" s="66"/>
      <c r="G163" s="65"/>
    </row>
    <row r="164" spans="1:7" ht="12.75">
      <c r="A164" s="59">
        <v>21</v>
      </c>
      <c r="C164" s="67">
        <f t="shared" si="7"/>
        <v>18.428730347499997</v>
      </c>
      <c r="E164" s="63">
        <f t="shared" si="6"/>
        <v>18.428730347499997</v>
      </c>
      <c r="F164" s="66"/>
      <c r="G164" s="65"/>
    </row>
    <row r="165" spans="1:7" ht="12.75">
      <c r="A165" s="59">
        <v>22</v>
      </c>
      <c r="C165" s="67">
        <f t="shared" si="7"/>
        <v>18.428730347499997</v>
      </c>
      <c r="E165" s="63">
        <f t="shared" si="6"/>
        <v>18.428730347499997</v>
      </c>
      <c r="F165" s="66"/>
      <c r="G165" s="65"/>
    </row>
    <row r="166" spans="1:7" ht="12.75">
      <c r="A166" s="59">
        <v>23</v>
      </c>
      <c r="C166" s="67">
        <f t="shared" si="7"/>
        <v>18.428730347499997</v>
      </c>
      <c r="E166" s="63">
        <f t="shared" si="6"/>
        <v>18.428730347499997</v>
      </c>
      <c r="F166" s="66"/>
      <c r="G166" s="65"/>
    </row>
    <row r="167" spans="1:7" ht="12.75">
      <c r="A167" s="59">
        <v>24</v>
      </c>
      <c r="C167" s="67">
        <f t="shared" si="7"/>
        <v>18.428730347499997</v>
      </c>
      <c r="E167" s="63">
        <f t="shared" si="6"/>
        <v>18.428730347499997</v>
      </c>
      <c r="F167" s="66"/>
      <c r="G167" s="65"/>
    </row>
    <row r="168" spans="1:7" ht="12.75">
      <c r="A168" s="59">
        <v>25</v>
      </c>
      <c r="C168" s="67">
        <f t="shared" si="7"/>
        <v>18.428730347499997</v>
      </c>
      <c r="E168" s="63">
        <f t="shared" si="6"/>
        <v>18.428730347499997</v>
      </c>
      <c r="F168" s="66"/>
      <c r="G168" s="65"/>
    </row>
    <row r="169" spans="1:7" ht="12.75">
      <c r="A169" s="59">
        <v>26</v>
      </c>
      <c r="C169" s="67">
        <f t="shared" si="7"/>
        <v>18.428730347499997</v>
      </c>
      <c r="E169" s="63">
        <f t="shared" si="6"/>
        <v>18.428730347499997</v>
      </c>
      <c r="F169" s="66"/>
      <c r="G169" s="65"/>
    </row>
    <row r="170" spans="1:7" ht="12.75">
      <c r="A170" s="59">
        <v>27</v>
      </c>
      <c r="C170" s="67">
        <f t="shared" si="7"/>
        <v>18.428730347499997</v>
      </c>
      <c r="E170" s="63">
        <f t="shared" si="6"/>
        <v>18.428730347499997</v>
      </c>
      <c r="F170" s="66"/>
      <c r="G170" s="65"/>
    </row>
    <row r="171" spans="1:7" ht="12.75">
      <c r="A171" s="59">
        <v>28</v>
      </c>
      <c r="C171" s="67">
        <f t="shared" si="7"/>
        <v>18.428730347499997</v>
      </c>
      <c r="E171" s="63">
        <f t="shared" si="6"/>
        <v>18.428730347499997</v>
      </c>
      <c r="F171" s="66"/>
      <c r="G171" s="65"/>
    </row>
    <row r="172" spans="1:7" ht="12.75">
      <c r="A172" s="59">
        <v>29</v>
      </c>
      <c r="C172" s="67">
        <f t="shared" si="7"/>
        <v>18.428730347499997</v>
      </c>
      <c r="E172" s="63">
        <f t="shared" si="6"/>
        <v>18.428730347499997</v>
      </c>
      <c r="F172" s="66"/>
      <c r="G172" s="65"/>
    </row>
    <row r="173" spans="1:7" ht="12.75">
      <c r="A173" s="59">
        <v>30</v>
      </c>
      <c r="C173" s="67">
        <f t="shared" si="7"/>
        <v>18.428730347499997</v>
      </c>
      <c r="E173" s="63">
        <f t="shared" si="6"/>
        <v>18.428730347499997</v>
      </c>
      <c r="F173" s="66"/>
      <c r="G173" s="65"/>
    </row>
    <row r="174" spans="1:7" ht="12.75">
      <c r="A174" s="59">
        <v>31</v>
      </c>
      <c r="C174" s="67">
        <f t="shared" si="7"/>
        <v>18.428730347499997</v>
      </c>
      <c r="E174" s="63">
        <f t="shared" si="6"/>
        <v>18.428730347499997</v>
      </c>
      <c r="F174" s="66"/>
      <c r="G174" s="65"/>
    </row>
    <row r="175" spans="1:7" ht="12.75">
      <c r="A175" s="59">
        <v>32</v>
      </c>
      <c r="C175" s="67">
        <f t="shared" si="7"/>
        <v>18.428730347499997</v>
      </c>
      <c r="E175" s="63">
        <f t="shared" si="6"/>
        <v>18.428730347499997</v>
      </c>
      <c r="F175" s="66"/>
      <c r="G175" s="65"/>
    </row>
    <row r="176" spans="1:7" ht="12.75">
      <c r="A176" s="59">
        <v>33</v>
      </c>
      <c r="C176" s="67">
        <f t="shared" si="7"/>
        <v>18.428730347499997</v>
      </c>
      <c r="E176" s="63">
        <f t="shared" si="6"/>
        <v>18.428730347499997</v>
      </c>
      <c r="F176" s="66"/>
      <c r="G176" s="65"/>
    </row>
    <row r="177" spans="1:7" ht="12.75">
      <c r="A177" s="59">
        <v>34</v>
      </c>
      <c r="C177" s="67">
        <f t="shared" si="7"/>
        <v>18.428730347499997</v>
      </c>
      <c r="E177" s="63">
        <f t="shared" si="6"/>
        <v>18.428730347499997</v>
      </c>
      <c r="F177" s="66"/>
      <c r="G177" s="65"/>
    </row>
    <row r="178" spans="1:7" ht="12.75">
      <c r="A178" s="59">
        <v>35</v>
      </c>
      <c r="C178" s="67">
        <f t="shared" si="7"/>
        <v>18.428730347499997</v>
      </c>
      <c r="E178" s="63">
        <f t="shared" si="6"/>
        <v>18.428730347499997</v>
      </c>
      <c r="F178" s="66"/>
      <c r="G178" s="65"/>
    </row>
    <row r="179" spans="1:7" ht="12.75">
      <c r="A179" s="59">
        <v>36</v>
      </c>
      <c r="C179" s="67">
        <f t="shared" si="7"/>
        <v>18.428730347499997</v>
      </c>
      <c r="E179" s="63">
        <f t="shared" si="6"/>
        <v>18.428730347499997</v>
      </c>
      <c r="F179" s="66"/>
      <c r="G179" s="65"/>
    </row>
    <row r="180" spans="1:7" ht="12.75">
      <c r="A180" s="59">
        <v>37</v>
      </c>
      <c r="C180" s="67">
        <f t="shared" si="7"/>
        <v>18.428730347499997</v>
      </c>
      <c r="E180" s="63">
        <f t="shared" si="6"/>
        <v>18.428730347499997</v>
      </c>
      <c r="F180" s="66"/>
      <c r="G180" s="65"/>
    </row>
    <row r="181" spans="1:7" ht="12.75">
      <c r="A181" s="59">
        <v>38</v>
      </c>
      <c r="C181" s="67">
        <f t="shared" si="7"/>
        <v>18.428730347499997</v>
      </c>
      <c r="E181" s="63">
        <f t="shared" si="6"/>
        <v>18.428730347499997</v>
      </c>
      <c r="F181" s="66"/>
      <c r="G181" s="65"/>
    </row>
    <row r="182" spans="1:7" ht="12.75">
      <c r="A182" s="59">
        <v>39</v>
      </c>
      <c r="C182" s="67">
        <f t="shared" si="7"/>
        <v>18.428730347499997</v>
      </c>
      <c r="E182" s="63">
        <f t="shared" si="6"/>
        <v>18.428730347499997</v>
      </c>
      <c r="F182" s="66"/>
      <c r="G182" s="65"/>
    </row>
    <row r="183" spans="1:7" ht="12.75">
      <c r="A183" s="59">
        <v>40</v>
      </c>
      <c r="C183" s="67">
        <f t="shared" si="7"/>
        <v>18.428730347499997</v>
      </c>
      <c r="E183" s="63">
        <f t="shared" si="6"/>
        <v>18.428730347499997</v>
      </c>
      <c r="F183" s="66"/>
      <c r="G183" s="65"/>
    </row>
    <row r="184" spans="1:7" ht="12.75">
      <c r="A184" s="59">
        <v>41</v>
      </c>
      <c r="C184" s="67">
        <f t="shared" si="7"/>
        <v>18.428730347499997</v>
      </c>
      <c r="E184" s="63">
        <f t="shared" si="6"/>
        <v>18.428730347499997</v>
      </c>
      <c r="F184" s="66"/>
      <c r="G184" s="65"/>
    </row>
    <row r="185" spans="1:7" ht="12.75">
      <c r="A185" s="59">
        <v>42</v>
      </c>
      <c r="C185" s="67">
        <f t="shared" si="7"/>
        <v>18.428730347499997</v>
      </c>
      <c r="E185" s="63">
        <f t="shared" si="6"/>
        <v>18.428730347499997</v>
      </c>
      <c r="F185" s="66"/>
      <c r="G185" s="65"/>
    </row>
    <row r="186" spans="1:7" ht="12.75">
      <c r="A186" s="59">
        <v>43</v>
      </c>
      <c r="C186" s="67">
        <f t="shared" si="7"/>
        <v>18.428730347499997</v>
      </c>
      <c r="E186" s="63">
        <f t="shared" si="6"/>
        <v>18.428730347499997</v>
      </c>
      <c r="F186" s="66"/>
      <c r="G186" s="65"/>
    </row>
    <row r="187" spans="1:7" ht="12.75">
      <c r="A187" s="59">
        <v>44</v>
      </c>
      <c r="C187" s="67">
        <f t="shared" si="7"/>
        <v>18.428730347499997</v>
      </c>
      <c r="E187" s="63">
        <f t="shared" si="6"/>
        <v>18.428730347499997</v>
      </c>
      <c r="F187" s="66"/>
      <c r="G187" s="65"/>
    </row>
    <row r="188" spans="1:7" ht="12.75">
      <c r="A188" s="59">
        <v>45</v>
      </c>
      <c r="C188" s="67">
        <f t="shared" si="7"/>
        <v>18.428730347499997</v>
      </c>
      <c r="E188" s="63">
        <f t="shared" si="6"/>
        <v>18.428730347499997</v>
      </c>
      <c r="F188" s="66"/>
      <c r="G188" s="65"/>
    </row>
    <row r="189" spans="1:7" ht="12.75">
      <c r="A189" s="59">
        <v>46</v>
      </c>
      <c r="C189" s="67">
        <f t="shared" si="7"/>
        <v>18.428730347499997</v>
      </c>
      <c r="E189" s="63">
        <f t="shared" si="6"/>
        <v>18.428730347499997</v>
      </c>
      <c r="F189" s="66"/>
      <c r="G189" s="65"/>
    </row>
    <row r="190" spans="1:7" ht="12.75">
      <c r="A190" s="59">
        <v>47</v>
      </c>
      <c r="C190" s="67">
        <f t="shared" si="7"/>
        <v>18.428730347499997</v>
      </c>
      <c r="E190" s="63">
        <f t="shared" si="6"/>
        <v>18.428730347499997</v>
      </c>
      <c r="F190" s="66"/>
      <c r="G190" s="65"/>
    </row>
    <row r="191" spans="1:7" ht="12.75">
      <c r="A191" s="59">
        <v>48</v>
      </c>
      <c r="C191" s="67">
        <f t="shared" si="7"/>
        <v>18.428730347499997</v>
      </c>
      <c r="E191" s="63">
        <f t="shared" si="6"/>
        <v>18.428730347499997</v>
      </c>
      <c r="F191" s="66"/>
      <c r="G191" s="65"/>
    </row>
    <row r="192" spans="1:7" ht="12.75">
      <c r="A192" s="59">
        <v>49</v>
      </c>
      <c r="C192" s="67">
        <f t="shared" si="7"/>
        <v>18.428730347499997</v>
      </c>
      <c r="E192" s="63">
        <f t="shared" si="6"/>
        <v>18.428730347499997</v>
      </c>
      <c r="F192" s="66"/>
      <c r="G192" s="65"/>
    </row>
    <row r="193" spans="1:7" ht="12.75">
      <c r="A193" s="59">
        <v>50</v>
      </c>
      <c r="C193" s="67">
        <f t="shared" si="7"/>
        <v>18.428730347499997</v>
      </c>
      <c r="E193" s="63">
        <f t="shared" si="6"/>
        <v>18.428730347499997</v>
      </c>
      <c r="F193" s="66"/>
      <c r="G193" s="65"/>
    </row>
    <row r="194" spans="1:7" ht="12.75">
      <c r="A194" s="59">
        <v>51</v>
      </c>
      <c r="C194" s="67">
        <f t="shared" si="7"/>
        <v>18.428730347499997</v>
      </c>
      <c r="E194" s="63">
        <f t="shared" si="6"/>
        <v>18.428730347499997</v>
      </c>
      <c r="F194" s="66"/>
      <c r="G194" s="65"/>
    </row>
    <row r="195" spans="1:7" ht="12.75">
      <c r="A195" s="59">
        <v>52</v>
      </c>
      <c r="C195" s="67">
        <f t="shared" si="7"/>
        <v>18.428730347499997</v>
      </c>
      <c r="E195" s="63">
        <f t="shared" si="6"/>
        <v>18.428730347499997</v>
      </c>
      <c r="F195" s="66"/>
      <c r="G195" s="65"/>
    </row>
    <row r="196" spans="1:7" ht="12.75">
      <c r="A196" s="59">
        <v>53</v>
      </c>
      <c r="C196" s="67">
        <f t="shared" si="7"/>
        <v>18.428730347499997</v>
      </c>
      <c r="E196" s="63">
        <f t="shared" si="6"/>
        <v>18.428730347499997</v>
      </c>
      <c r="F196" s="66"/>
      <c r="G196" s="65"/>
    </row>
    <row r="197" spans="1:7" ht="12.75">
      <c r="A197" s="59">
        <v>54</v>
      </c>
      <c r="C197" s="67">
        <f t="shared" si="7"/>
        <v>18.428730347499997</v>
      </c>
      <c r="E197" s="63">
        <f t="shared" si="6"/>
        <v>18.428730347499997</v>
      </c>
      <c r="F197" s="66"/>
      <c r="G197" s="65"/>
    </row>
    <row r="198" spans="1:7" ht="12.75">
      <c r="A198" s="59">
        <v>55</v>
      </c>
      <c r="C198" s="67">
        <f t="shared" si="7"/>
        <v>18.428730347499997</v>
      </c>
      <c r="E198" s="63">
        <f t="shared" si="6"/>
        <v>18.428730347499997</v>
      </c>
      <c r="F198" s="66"/>
      <c r="G198" s="65"/>
    </row>
    <row r="199" spans="1:7" ht="12.75">
      <c r="A199" s="59">
        <v>56</v>
      </c>
      <c r="C199" s="67">
        <f t="shared" si="7"/>
        <v>18.428730347499997</v>
      </c>
      <c r="E199" s="63">
        <f t="shared" si="6"/>
        <v>18.428730347499997</v>
      </c>
      <c r="F199" s="66"/>
      <c r="G199" s="65"/>
    </row>
    <row r="200" spans="1:7" ht="12.75">
      <c r="A200" s="59">
        <v>57</v>
      </c>
      <c r="C200" s="67">
        <f t="shared" si="7"/>
        <v>18.428730347499997</v>
      </c>
      <c r="E200" s="63">
        <f t="shared" si="6"/>
        <v>18.428730347499997</v>
      </c>
      <c r="F200" s="66"/>
      <c r="G200" s="65"/>
    </row>
    <row r="201" spans="1:7" ht="12.75">
      <c r="A201" s="59">
        <v>58</v>
      </c>
      <c r="C201" s="67">
        <f t="shared" si="7"/>
        <v>18.428730347499997</v>
      </c>
      <c r="E201" s="63">
        <f t="shared" si="6"/>
        <v>18.428730347499997</v>
      </c>
      <c r="F201" s="66"/>
      <c r="G201" s="65"/>
    </row>
    <row r="202" spans="1:7" ht="12.75">
      <c r="A202" s="59">
        <v>59</v>
      </c>
      <c r="C202" s="67">
        <f t="shared" si="7"/>
        <v>18.428730347499997</v>
      </c>
      <c r="E202" s="63">
        <f t="shared" si="6"/>
        <v>18.428730347499997</v>
      </c>
      <c r="F202" s="66"/>
      <c r="G202" s="65"/>
    </row>
    <row r="203" spans="1:7" ht="12.75">
      <c r="A203" s="59">
        <v>60</v>
      </c>
      <c r="C203" s="67">
        <f t="shared" si="7"/>
        <v>18.428730347499997</v>
      </c>
      <c r="E203" s="63">
        <f t="shared" si="6"/>
        <v>18.428730347499997</v>
      </c>
      <c r="F203" s="66"/>
      <c r="G203" s="65"/>
    </row>
    <row r="204" spans="1:7" ht="12.75">
      <c r="A204" s="59">
        <v>61</v>
      </c>
      <c r="C204" s="67">
        <f t="shared" si="7"/>
        <v>18.428730347499997</v>
      </c>
      <c r="E204" s="63">
        <f t="shared" si="6"/>
        <v>18.428730347499997</v>
      </c>
      <c r="F204" s="66"/>
      <c r="G204" s="65"/>
    </row>
    <row r="205" spans="1:7" ht="12.75">
      <c r="A205" s="59">
        <v>62</v>
      </c>
      <c r="C205" s="67">
        <f t="shared" si="7"/>
        <v>18.428730347499997</v>
      </c>
      <c r="E205" s="63">
        <f t="shared" si="6"/>
        <v>18.428730347499997</v>
      </c>
      <c r="F205" s="66"/>
      <c r="G205" s="65"/>
    </row>
    <row r="206" spans="1:7" ht="12.75">
      <c r="A206" s="59">
        <v>63</v>
      </c>
      <c r="C206" s="67">
        <f t="shared" si="7"/>
        <v>18.428730347499997</v>
      </c>
      <c r="E206" s="63">
        <f t="shared" si="6"/>
        <v>18.428730347499997</v>
      </c>
      <c r="F206" s="66"/>
      <c r="G206" s="65"/>
    </row>
    <row r="207" spans="1:7" ht="12.75">
      <c r="A207" s="59">
        <v>64</v>
      </c>
      <c r="C207" s="67">
        <f t="shared" si="7"/>
        <v>18.428730347499997</v>
      </c>
      <c r="E207" s="63">
        <f t="shared" si="6"/>
        <v>18.428730347499997</v>
      </c>
      <c r="F207" s="66"/>
      <c r="G207" s="65"/>
    </row>
    <row r="208" spans="1:7" ht="12.75">
      <c r="A208" s="59">
        <v>65</v>
      </c>
      <c r="C208" s="67">
        <f t="shared" si="7"/>
        <v>18.428730347499997</v>
      </c>
      <c r="E208" s="63">
        <f t="shared" si="6"/>
        <v>18.428730347499997</v>
      </c>
      <c r="F208" s="66"/>
      <c r="G208" s="65"/>
    </row>
    <row r="209" spans="1:7" ht="12.75">
      <c r="A209" s="59">
        <v>66</v>
      </c>
      <c r="C209" s="67">
        <f t="shared" si="7"/>
        <v>18.428730347499997</v>
      </c>
      <c r="E209" s="63">
        <f t="shared" si="6"/>
        <v>18.428730347499997</v>
      </c>
      <c r="F209" s="66"/>
      <c r="G209" s="65"/>
    </row>
    <row r="210" spans="1:7" ht="12.75">
      <c r="A210" s="59">
        <v>67</v>
      </c>
      <c r="C210" s="67">
        <f t="shared" si="7"/>
        <v>18.428730347499997</v>
      </c>
      <c r="E210" s="63">
        <f t="shared" si="6"/>
        <v>18.428730347499997</v>
      </c>
      <c r="F210" s="66"/>
      <c r="G210" s="65"/>
    </row>
    <row r="211" spans="1:7" ht="12.75">
      <c r="A211" s="59">
        <v>68</v>
      </c>
      <c r="C211" s="67">
        <f t="shared" si="7"/>
        <v>18.428730347499997</v>
      </c>
      <c r="E211" s="63">
        <f t="shared" si="6"/>
        <v>18.428730347499997</v>
      </c>
      <c r="F211" s="66"/>
      <c r="G211" s="65"/>
    </row>
    <row r="212" spans="1:7" ht="12.75">
      <c r="A212" s="59">
        <v>69</v>
      </c>
      <c r="C212" s="67">
        <f t="shared" si="7"/>
        <v>18.428730347499997</v>
      </c>
      <c r="E212" s="63">
        <f aca="true" t="shared" si="8" ref="E212:E221">C212</f>
        <v>18.428730347499997</v>
      </c>
      <c r="F212" s="66"/>
      <c r="G212" s="65"/>
    </row>
    <row r="213" spans="1:7" ht="12.75">
      <c r="A213" s="59">
        <v>70</v>
      </c>
      <c r="C213" s="67">
        <f t="shared" si="7"/>
        <v>18.428730347499997</v>
      </c>
      <c r="E213" s="63">
        <f t="shared" si="8"/>
        <v>18.428730347499997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18.428730347499997</v>
      </c>
      <c r="E214" s="63">
        <f t="shared" si="8"/>
        <v>18.428730347499997</v>
      </c>
      <c r="F214" s="66"/>
      <c r="G214" s="65"/>
    </row>
    <row r="215" spans="1:7" ht="12.75">
      <c r="A215" s="59">
        <v>72</v>
      </c>
      <c r="C215" s="67">
        <f t="shared" si="9"/>
        <v>18.428730347499997</v>
      </c>
      <c r="E215" s="63">
        <f t="shared" si="8"/>
        <v>18.428730347499997</v>
      </c>
      <c r="F215" s="66"/>
      <c r="G215" s="65"/>
    </row>
    <row r="216" spans="1:7" ht="12.75">
      <c r="A216" s="59">
        <v>73</v>
      </c>
      <c r="C216" s="67">
        <f t="shared" si="9"/>
        <v>18.428730347499997</v>
      </c>
      <c r="E216" s="63">
        <f t="shared" si="8"/>
        <v>18.428730347499997</v>
      </c>
      <c r="F216" s="66"/>
      <c r="G216" s="65"/>
    </row>
    <row r="217" spans="1:7" ht="12.75">
      <c r="A217" s="59">
        <v>74</v>
      </c>
      <c r="C217" s="67">
        <f t="shared" si="9"/>
        <v>18.428730347499997</v>
      </c>
      <c r="E217" s="63">
        <f t="shared" si="8"/>
        <v>18.428730347499997</v>
      </c>
      <c r="F217" s="66"/>
      <c r="G217" s="65"/>
    </row>
    <row r="218" spans="1:7" ht="12.75">
      <c r="A218" s="59">
        <v>75</v>
      </c>
      <c r="C218" s="67">
        <f t="shared" si="9"/>
        <v>18.428730347499997</v>
      </c>
      <c r="E218" s="63">
        <f t="shared" si="8"/>
        <v>18.428730347499997</v>
      </c>
      <c r="F218" s="66"/>
      <c r="G218" s="65"/>
    </row>
    <row r="219" spans="1:7" ht="12.75">
      <c r="A219" s="59">
        <v>76</v>
      </c>
      <c r="C219" s="67">
        <f t="shared" si="9"/>
        <v>18.428730347499997</v>
      </c>
      <c r="E219" s="63">
        <f t="shared" si="8"/>
        <v>18.428730347499997</v>
      </c>
      <c r="F219" s="66"/>
      <c r="G219" s="65"/>
    </row>
    <row r="220" spans="1:7" ht="12.75">
      <c r="A220" s="59">
        <v>77</v>
      </c>
      <c r="C220" s="67">
        <f t="shared" si="9"/>
        <v>18.428730347499997</v>
      </c>
      <c r="E220" s="63">
        <f t="shared" si="8"/>
        <v>18.428730347499997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18.428730347499997</v>
      </c>
      <c r="D221" s="142"/>
      <c r="E221" s="140">
        <f t="shared" si="8"/>
        <v>18.428730347499997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221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31.85</v>
      </c>
      <c r="C4" s="2">
        <f>Param!C41</f>
        <v>1.1</v>
      </c>
      <c r="D4" s="2">
        <f aca="true" t="shared" si="0" ref="D4:D9">B4*C4</f>
        <v>35.035000000000004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63.76</v>
      </c>
      <c r="C5" s="2">
        <f>Param!C44</f>
        <v>0.01</v>
      </c>
      <c r="D5" s="2">
        <f t="shared" si="0"/>
        <v>0.6376</v>
      </c>
      <c r="F5" s="42" t="s">
        <v>113</v>
      </c>
      <c r="G5" s="106">
        <f>Param!$D$9</f>
        <v>26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F6" s="74" t="s">
        <v>105</v>
      </c>
      <c r="G6" s="29">
        <f>Param!D12</f>
        <v>31.85</v>
      </c>
    </row>
    <row r="7" spans="1:8" ht="12.75">
      <c r="A7" s="2" t="s">
        <v>184</v>
      </c>
      <c r="B7" s="14">
        <f>G6</f>
        <v>31.85</v>
      </c>
      <c r="C7" s="2">
        <f>Param!$C$45</f>
        <v>0.13</v>
      </c>
      <c r="D7" s="2">
        <f t="shared" si="0"/>
        <v>4.1405</v>
      </c>
      <c r="F7" s="45" t="s">
        <v>153</v>
      </c>
      <c r="G7" s="29">
        <f>Param!D18</f>
        <v>5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F8" s="43" t="s">
        <v>154</v>
      </c>
      <c r="G8" s="29">
        <f>Param!D18*(1+Param!B19)</f>
        <v>7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F9" s="51" t="s">
        <v>70</v>
      </c>
      <c r="G9" s="130">
        <f>Param!$D$15</f>
        <v>14125</v>
      </c>
    </row>
    <row r="10" spans="1:7" ht="12.75">
      <c r="A10" s="15" t="s">
        <v>90</v>
      </c>
      <c r="B10" s="103"/>
      <c r="C10" s="102"/>
      <c r="D10" s="15">
        <f>SUM(D4:D9)</f>
        <v>50.54410000000001</v>
      </c>
      <c r="F10" s="51" t="s">
        <v>171</v>
      </c>
      <c r="G10" s="131">
        <f>G9*365</f>
        <v>5155625</v>
      </c>
    </row>
    <row r="11" spans="2:7" ht="12.75">
      <c r="B11" s="11"/>
      <c r="F11" s="51" t="s">
        <v>375</v>
      </c>
      <c r="G11" s="131">
        <f>G7*G10</f>
        <v>25778125</v>
      </c>
    </row>
    <row r="12" spans="1:7" ht="12.75">
      <c r="A12" s="2" t="s">
        <v>93</v>
      </c>
      <c r="B12" s="10">
        <f>$G$5*Param!$D$46</f>
        <v>26</v>
      </c>
      <c r="C12" s="2">
        <f>Param!E46</f>
        <v>0.2</v>
      </c>
      <c r="D12" s="2">
        <f>B12*C12</f>
        <v>5.2</v>
      </c>
      <c r="F12" s="51" t="s">
        <v>376</v>
      </c>
      <c r="G12" s="131">
        <f>G8*G10</f>
        <v>36089375</v>
      </c>
    </row>
    <row r="13" spans="1:7" ht="13.5" thickBot="1">
      <c r="A13" s="4" t="s">
        <v>72</v>
      </c>
      <c r="B13" s="4">
        <f>$G$5*Param!$D$47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2825</v>
      </c>
    </row>
    <row r="14" spans="1:7" ht="12.75">
      <c r="A14" s="104" t="s">
        <v>110</v>
      </c>
      <c r="B14" s="101"/>
      <c r="C14" s="100"/>
      <c r="D14" s="104">
        <f>SUM(D12:D13)</f>
        <v>5.2</v>
      </c>
      <c r="E14" s="6"/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55.74410000000001</v>
      </c>
      <c r="F16" s="45" t="s">
        <v>178</v>
      </c>
      <c r="G16" s="260">
        <f>Param!D31</f>
        <v>2.75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0.6510288065843621</v>
      </c>
      <c r="D18" s="18">
        <f>C18+B18</f>
        <v>3.651028806584362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59.395128806584374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26</v>
      </c>
      <c r="C23" s="2">
        <f>Param!C53</f>
        <v>0.1</v>
      </c>
      <c r="D23" s="2">
        <f>B23*C23</f>
        <v>2.6</v>
      </c>
    </row>
    <row r="24" spans="1:4" ht="12.75">
      <c r="A24" s="2" t="s">
        <v>6</v>
      </c>
      <c r="B24" s="11">
        <f>B12+B13</f>
        <v>26</v>
      </c>
      <c r="C24" s="2">
        <f>Param!C51</f>
        <v>0.005</v>
      </c>
      <c r="D24" s="2">
        <f>B24*C24</f>
        <v>0.13</v>
      </c>
    </row>
    <row r="25" spans="1:5" ht="13.5" thickBot="1">
      <c r="A25" s="4" t="s">
        <v>16</v>
      </c>
      <c r="B25" s="123">
        <f>$G$5</f>
        <v>26</v>
      </c>
      <c r="C25" s="26">
        <f>Param!C54</f>
        <v>0.01</v>
      </c>
      <c r="D25" s="4">
        <f>B25*C25+Param!C52</f>
        <v>1.26</v>
      </c>
      <c r="E25" s="1"/>
    </row>
    <row r="26" spans="1:5" ht="12.75">
      <c r="A26" s="15" t="s">
        <v>91</v>
      </c>
      <c r="B26" s="16"/>
      <c r="C26" s="17"/>
      <c r="D26" s="15">
        <f>SUM(D22:D25)</f>
        <v>4.04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63.43512880658437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325.51440329218104</v>
      </c>
      <c r="C30" s="17">
        <f>Param!$C$58</f>
        <v>0.025</v>
      </c>
      <c r="D30" s="15">
        <f>B30*C30</f>
        <v>8.137860082304526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71.5729888888889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3.578649444444445</v>
      </c>
      <c r="D34" s="88">
        <f>B34+C34</f>
        <v>8.578649444444444</v>
      </c>
    </row>
    <row r="35" spans="1:4" ht="13.5" thickBot="1">
      <c r="A35" s="4" t="s">
        <v>98</v>
      </c>
      <c r="B35" s="4">
        <f>Param!B61</f>
        <v>0</v>
      </c>
      <c r="C35" s="4">
        <f>Param!C61*D32</f>
        <v>3.578649444444445</v>
      </c>
      <c r="D35" s="4">
        <f>B35+C35</f>
        <v>3.578649444444445</v>
      </c>
    </row>
    <row r="36" spans="1:5" ht="12.75">
      <c r="A36" s="15" t="s">
        <v>188</v>
      </c>
      <c r="B36" s="16"/>
      <c r="C36" s="17"/>
      <c r="D36" s="15">
        <f>SUM(D34:D35)</f>
        <v>12.157298888888889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83.73028777777779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5.2</v>
      </c>
      <c r="C40" s="2">
        <f>(Param!G49+Param!G50)</f>
        <v>7</v>
      </c>
      <c r="D40" s="84">
        <f>(B40+C40)*Param!H51</f>
        <v>0.854</v>
      </c>
    </row>
    <row r="41" spans="1:4" ht="12.75">
      <c r="A41" s="2" t="s">
        <v>8</v>
      </c>
      <c r="B41" s="14">
        <f>G5</f>
        <v>26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36089375</v>
      </c>
      <c r="C42" s="12">
        <f>Param!H38*Param!H39</f>
        <v>0.01125</v>
      </c>
      <c r="D42" s="84">
        <f>(B42*C42)/1000000</f>
        <v>0.40600546875</v>
      </c>
    </row>
    <row r="43" spans="1:4" ht="12.75">
      <c r="A43" s="2" t="s">
        <v>191</v>
      </c>
      <c r="B43" s="35">
        <f>G12</f>
        <v>36089375</v>
      </c>
      <c r="C43" s="12">
        <f>Param!H38*Param!H40</f>
        <v>0.0075</v>
      </c>
      <c r="D43" s="84">
        <f>(B43*C43)/1000000</f>
        <v>0.2706703125</v>
      </c>
    </row>
    <row r="44" spans="1:5" ht="12.75">
      <c r="A44" s="2" t="s">
        <v>118</v>
      </c>
      <c r="B44" s="35">
        <f>G12</f>
        <v>36089375</v>
      </c>
      <c r="C44" s="86">
        <f>Param!G43</f>
        <v>0.001</v>
      </c>
      <c r="D44" s="84">
        <f>B44*C44/1000000</f>
        <v>0.036089375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1.431459777777778</v>
      </c>
      <c r="D45" s="84">
        <f>B45*C45</f>
        <v>0.02862919555555556</v>
      </c>
    </row>
    <row r="46" spans="1:4" ht="12.75">
      <c r="A46" s="2" t="s">
        <v>195</v>
      </c>
      <c r="B46" s="2">
        <f>SUM(D22:D25)</f>
        <v>4.04</v>
      </c>
      <c r="C46" s="12">
        <f>Param!G45</f>
        <v>0.02</v>
      </c>
      <c r="D46" s="84">
        <f>B46*C46</f>
        <v>0.0808</v>
      </c>
    </row>
    <row r="47" spans="1:4" ht="13.5" thickBot="1">
      <c r="A47" s="4" t="s">
        <v>227</v>
      </c>
      <c r="B47" s="123">
        <f>B30</f>
        <v>325.51440329218104</v>
      </c>
      <c r="C47" s="26">
        <f>Param!H46</f>
        <v>0.0002</v>
      </c>
      <c r="D47" s="143">
        <f>B47*C47</f>
        <v>0.06510288065843621</v>
      </c>
    </row>
    <row r="48" spans="1:5" ht="12.75">
      <c r="A48" s="15" t="s">
        <v>23</v>
      </c>
      <c r="B48" s="17"/>
      <c r="C48" s="17"/>
      <c r="D48" s="15">
        <f>SUM(D39:D46)</f>
        <v>1.6761943518055555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0.04708749269005849</v>
      </c>
      <c r="E50" s="10">
        <f t="shared" si="1"/>
        <v>0</v>
      </c>
      <c r="F50" s="44">
        <f>-D57*B57</f>
        <v>12.157298888888889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0.112876966374269</v>
      </c>
      <c r="E51" s="10">
        <f t="shared" si="1"/>
        <v>0</v>
      </c>
      <c r="F51" s="44">
        <f>-D58*B58</f>
        <v>0.8195958525154988</v>
      </c>
      <c r="G51" s="44">
        <f>F51</f>
        <v>0.8195958525154988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0.8346727474550576</v>
      </c>
      <c r="E52" s="10">
        <f t="shared" si="1"/>
        <v>0</v>
      </c>
      <c r="F52" s="44">
        <f>-D59*B59</f>
        <v>7.999510533331976</v>
      </c>
      <c r="G52" s="2">
        <f>F52</f>
        <v>7.999510533331976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0.3129946185501741</v>
      </c>
      <c r="E53" s="10">
        <f t="shared" si="1"/>
        <v>0</v>
      </c>
      <c r="F53" s="44">
        <f>-D60*B60</f>
        <v>4.139504310117753</v>
      </c>
      <c r="G53" s="2">
        <f>F53*2</f>
        <v>8.279008620235507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0.5252</v>
      </c>
      <c r="E54" s="10">
        <f t="shared" si="1"/>
        <v>0</v>
      </c>
      <c r="F54" s="44">
        <f>-D61*B61</f>
        <v>2.9650567866090545</v>
      </c>
      <c r="G54" s="5">
        <f>F54*6</f>
        <v>17.790340719654328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1.6728673660052316</v>
      </c>
      <c r="E55" s="10">
        <f t="shared" si="1"/>
        <v>0</v>
      </c>
      <c r="F55" s="44">
        <f>SUM(F51:F54)</f>
        <v>15.923667482574281</v>
      </c>
      <c r="G55" s="1">
        <f>SUM(G51:G54)</f>
        <v>34.88845572573731</v>
      </c>
      <c r="H55" s="1">
        <f>I66*20</f>
        <v>88.48083640164867</v>
      </c>
      <c r="I55" s="1">
        <f>I75*10</f>
        <v>111.67848831729845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0.1599644590643275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0.0107841559541513</v>
      </c>
      <c r="E58" s="2">
        <f>D36</f>
        <v>12.157298888888889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0.10525671754384179</v>
      </c>
      <c r="E59" s="2">
        <f>D32</f>
        <v>71.5729888888889</v>
      </c>
      <c r="F59" s="164" t="s">
        <v>28</v>
      </c>
      <c r="G59" s="165">
        <f>$D$67</f>
        <v>1.6501943518055555</v>
      </c>
      <c r="H59" s="166">
        <f>$G$12</f>
        <v>36089375</v>
      </c>
      <c r="I59" s="167">
        <f>(G59/H59)*1000000</f>
        <v>0.04572521280309109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0.1592117042352982</v>
      </c>
      <c r="E60" s="2">
        <f>D30</f>
        <v>8.137860082304526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0.22808129127761959</v>
      </c>
      <c r="E61" s="5">
        <f>D26</f>
        <v>4.04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0.49254971305675954</v>
      </c>
      <c r="E62" s="30">
        <f>SUM(E58:E61)</f>
        <v>95.90814786008232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2.1654170790619913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2.990367420634921</v>
      </c>
    </row>
    <row r="65" spans="1:9" ht="12.75">
      <c r="A65" s="24" t="s">
        <v>291</v>
      </c>
      <c r="B65" s="30"/>
      <c r="C65" s="30"/>
      <c r="D65" s="85">
        <f>D48+D64</f>
        <v>3.841611430867547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1.433674399447513</v>
      </c>
    </row>
    <row r="66" spans="1:9" ht="12.75">
      <c r="A66" s="24" t="s">
        <v>292</v>
      </c>
      <c r="B66" s="30"/>
      <c r="C66" s="30"/>
      <c r="D66" s="85">
        <f>D65-D80</f>
        <v>3.815611430867547</v>
      </c>
      <c r="F66" s="161" t="s">
        <v>212</v>
      </c>
      <c r="G66" s="100"/>
      <c r="H66" s="100"/>
      <c r="I66" s="162">
        <f>SUM(I64:I65)</f>
        <v>4.424041820082434</v>
      </c>
    </row>
    <row r="67" spans="1:9" ht="12.75">
      <c r="A67" s="24" t="s">
        <v>293</v>
      </c>
      <c r="B67" s="30"/>
      <c r="C67" s="30"/>
      <c r="D67" s="85">
        <f>D48-D80</f>
        <v>1.6501943518055555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6.074236171887989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6.074236171887989</v>
      </c>
      <c r="H69" s="166">
        <f>$G$12</f>
        <v>36089375</v>
      </c>
      <c r="I69" s="167">
        <f>(G69/H69)*1000000</f>
        <v>0.16831092729890693</v>
      </c>
    </row>
    <row r="70" spans="1:9" ht="13.5" thickBot="1">
      <c r="A70" s="24" t="s">
        <v>71</v>
      </c>
      <c r="B70" s="124">
        <f>G10</f>
        <v>5155625</v>
      </c>
      <c r="C70" s="125">
        <f>G16</f>
        <v>2.75</v>
      </c>
      <c r="D70" s="47">
        <f>B70*C70*Param!$B$32/1000000</f>
        <v>14.17796875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14.17796875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6.440791367521369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4.727057464208477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11.167848831729845</v>
      </c>
    </row>
    <row r="76" spans="1:9" ht="12.75">
      <c r="A76" s="3" t="s">
        <v>11</v>
      </c>
      <c r="B76" s="11">
        <f>$G$5</f>
        <v>26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26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12.818043183535401</v>
      </c>
    </row>
    <row r="78" spans="1:9" ht="13.5" thickBot="1">
      <c r="A78" s="36" t="s">
        <v>29</v>
      </c>
      <c r="B78" s="107">
        <f>B12+B13</f>
        <v>26</v>
      </c>
      <c r="C78" s="36">
        <f>Param!$G$33</f>
        <v>0.001</v>
      </c>
      <c r="D78" s="36">
        <f>B78*C78</f>
        <v>0.026000000000000002</v>
      </c>
      <c r="F78" s="164" t="s">
        <v>37</v>
      </c>
      <c r="G78" s="165">
        <f>I77</f>
        <v>12.818043183535401</v>
      </c>
      <c r="H78" s="166">
        <f>$G$12</f>
        <v>36089375</v>
      </c>
      <c r="I78" s="167">
        <f>(G78/H78)*1000000</f>
        <v>0.35517498387088725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0.026000000000000002</v>
      </c>
      <c r="E80" s="30"/>
    </row>
    <row r="81" spans="1:5" ht="12.75">
      <c r="A81" s="94" t="s">
        <v>35</v>
      </c>
      <c r="B81" s="94"/>
      <c r="C81" s="94"/>
      <c r="D81" s="93">
        <f>$D$72+$D$80</f>
        <v>14.20396875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1.6761943518055555</v>
      </c>
    </row>
    <row r="84" spans="1:4" ht="16.5" thickBot="1">
      <c r="A84" s="54" t="s">
        <v>39</v>
      </c>
      <c r="B84" s="55"/>
      <c r="C84" s="55"/>
      <c r="D84" s="55">
        <f>D81-D83</f>
        <v>12.527774398194444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12.157298888888889</v>
      </c>
      <c r="C89" s="59">
        <v>0</v>
      </c>
      <c r="D89" s="59"/>
      <c r="E89" s="63">
        <f>+B89*-1</f>
        <v>-12.157298888888889</v>
      </c>
      <c r="F89" s="64">
        <f>IRR(E89:E101,0.1)</f>
        <v>0.047214395767576085</v>
      </c>
      <c r="G89" s="81">
        <f>NPV(Param!$B$38,E89:E101)</f>
        <v>-1.2374346948001704</v>
      </c>
    </row>
    <row r="90" spans="1:7" ht="12.75">
      <c r="A90" s="59">
        <v>2</v>
      </c>
      <c r="B90" s="62">
        <f>0.4*D32</f>
        <v>28.62919555555556</v>
      </c>
      <c r="C90" s="59">
        <v>0</v>
      </c>
      <c r="D90" s="59"/>
      <c r="E90" s="63">
        <f>+B90*-1</f>
        <v>-28.62919555555556</v>
      </c>
      <c r="F90" s="65"/>
      <c r="G90" s="65"/>
    </row>
    <row r="91" spans="1:7" ht="12.75">
      <c r="A91" s="59">
        <v>3</v>
      </c>
      <c r="B91" s="62">
        <f>0.6*D32</f>
        <v>42.94379333333334</v>
      </c>
      <c r="C91" s="59">
        <v>0</v>
      </c>
      <c r="D91" s="59"/>
      <c r="E91" s="63">
        <f>+B91*-1</f>
        <v>-42.94379333333334</v>
      </c>
      <c r="F91" s="66"/>
      <c r="G91" s="65"/>
    </row>
    <row r="92" spans="1:7" ht="12.75">
      <c r="A92" s="59">
        <v>4</v>
      </c>
      <c r="B92" s="59"/>
      <c r="C92" s="67">
        <f>$D$84*0.3</f>
        <v>3.758332319458333</v>
      </c>
      <c r="D92" s="59"/>
      <c r="E92" s="63">
        <f aca="true" t="shared" si="2" ref="E92:E101">C92</f>
        <v>3.758332319458333</v>
      </c>
      <c r="F92" s="65"/>
      <c r="G92" s="65"/>
    </row>
    <row r="93" spans="1:7" ht="12.75">
      <c r="A93" s="59">
        <v>5</v>
      </c>
      <c r="B93" s="59"/>
      <c r="C93" s="67">
        <f>$D$84*0.7</f>
        <v>8.76944207873611</v>
      </c>
      <c r="D93" s="59"/>
      <c r="E93" s="63">
        <f t="shared" si="2"/>
        <v>8.76944207873611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12.527774398194444</v>
      </c>
      <c r="D94" s="59"/>
      <c r="E94" s="63">
        <f t="shared" si="2"/>
        <v>12.527774398194444</v>
      </c>
      <c r="F94" s="66"/>
      <c r="G94" s="65"/>
    </row>
    <row r="95" spans="1:7" ht="12.75">
      <c r="A95" s="59">
        <v>7</v>
      </c>
      <c r="B95" s="59"/>
      <c r="C95" s="67">
        <f t="shared" si="3"/>
        <v>12.527774398194444</v>
      </c>
      <c r="D95" s="59"/>
      <c r="E95" s="63">
        <f t="shared" si="2"/>
        <v>12.527774398194444</v>
      </c>
      <c r="F95" s="66"/>
      <c r="G95" s="65"/>
    </row>
    <row r="96" spans="1:7" ht="12.75">
      <c r="A96" s="59">
        <v>8</v>
      </c>
      <c r="B96" s="59"/>
      <c r="C96" s="67">
        <f t="shared" si="3"/>
        <v>12.527774398194444</v>
      </c>
      <c r="D96" s="59"/>
      <c r="E96" s="63">
        <f t="shared" si="2"/>
        <v>12.527774398194444</v>
      </c>
      <c r="F96" s="66"/>
      <c r="G96" s="65"/>
    </row>
    <row r="97" spans="1:7" ht="12.75">
      <c r="A97" s="59">
        <v>9</v>
      </c>
      <c r="B97" s="59"/>
      <c r="C97" s="67">
        <f t="shared" si="3"/>
        <v>12.527774398194444</v>
      </c>
      <c r="D97" s="59"/>
      <c r="E97" s="63">
        <f t="shared" si="2"/>
        <v>12.527774398194444</v>
      </c>
      <c r="F97" s="66"/>
      <c r="G97" s="65"/>
    </row>
    <row r="98" spans="1:7" ht="12.75">
      <c r="A98" s="59">
        <v>10</v>
      </c>
      <c r="B98" s="59"/>
      <c r="C98" s="67">
        <f t="shared" si="3"/>
        <v>12.527774398194444</v>
      </c>
      <c r="D98" s="59"/>
      <c r="E98" s="63">
        <f t="shared" si="2"/>
        <v>12.527774398194444</v>
      </c>
      <c r="F98" s="66"/>
      <c r="G98" s="65"/>
    </row>
    <row r="99" spans="1:7" ht="12.75">
      <c r="A99" s="59">
        <v>11</v>
      </c>
      <c r="B99" s="59"/>
      <c r="C99" s="67">
        <f t="shared" si="3"/>
        <v>12.527774398194444</v>
      </c>
      <c r="D99" s="59"/>
      <c r="E99" s="63">
        <f t="shared" si="2"/>
        <v>12.527774398194444</v>
      </c>
      <c r="F99" s="66"/>
      <c r="G99" s="65"/>
    </row>
    <row r="100" spans="1:7" ht="12.75">
      <c r="A100" s="59">
        <v>12</v>
      </c>
      <c r="B100" s="59"/>
      <c r="C100" s="67">
        <f t="shared" si="3"/>
        <v>12.527774398194444</v>
      </c>
      <c r="D100" s="59"/>
      <c r="E100" s="63">
        <f t="shared" si="2"/>
        <v>12.527774398194444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12.527774398194444</v>
      </c>
      <c r="D101" s="138"/>
      <c r="E101" s="140">
        <f t="shared" si="2"/>
        <v>12.527774398194444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14.20396875</v>
      </c>
    </row>
    <row r="104" spans="1:4" ht="12.75">
      <c r="A104" s="53" t="s">
        <v>290</v>
      </c>
      <c r="B104" s="53"/>
      <c r="C104" s="53"/>
      <c r="D104" s="53">
        <f>$D$48</f>
        <v>1.6761943518055555</v>
      </c>
    </row>
    <row r="105" spans="1:4" ht="16.5" thickBot="1">
      <c r="A105" s="54" t="s">
        <v>197</v>
      </c>
      <c r="B105" s="55"/>
      <c r="C105" s="55"/>
      <c r="D105" s="55">
        <f>D103-D104</f>
        <v>12.527774398194444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12.157298888888889</v>
      </c>
      <c r="C109" s="59">
        <v>0</v>
      </c>
      <c r="D109" s="59"/>
      <c r="E109" s="63">
        <f>+B109*-1</f>
        <v>-12.157298888888889</v>
      </c>
      <c r="F109" s="64">
        <f>IRR(E109:E136,0.1)</f>
        <v>0.11618458673599354</v>
      </c>
      <c r="G109" s="81">
        <f>NPV(Param!$B$38,E109:E136)</f>
        <v>67.72237936293168</v>
      </c>
    </row>
    <row r="110" spans="1:7" ht="12.75">
      <c r="A110" s="59">
        <v>2</v>
      </c>
      <c r="B110" s="62">
        <f>0.4*D32</f>
        <v>28.62919555555556</v>
      </c>
      <c r="C110" s="59">
        <v>0</v>
      </c>
      <c r="D110" s="59"/>
      <c r="E110" s="63">
        <f>+B110*-1</f>
        <v>-28.62919555555556</v>
      </c>
      <c r="F110" s="65"/>
      <c r="G110" s="65"/>
    </row>
    <row r="111" spans="1:7" ht="12.75">
      <c r="A111" s="59">
        <v>3</v>
      </c>
      <c r="B111" s="62">
        <f>0.6*D32</f>
        <v>42.94379333333334</v>
      </c>
      <c r="C111" s="59">
        <v>0</v>
      </c>
      <c r="D111" s="59"/>
      <c r="E111" s="63">
        <f>+B111*-1</f>
        <v>-42.94379333333334</v>
      </c>
      <c r="F111" s="66"/>
      <c r="G111" s="65"/>
    </row>
    <row r="112" spans="1:7" ht="12.75">
      <c r="A112" s="59">
        <v>4</v>
      </c>
      <c r="B112" s="59"/>
      <c r="C112" s="67">
        <f>$D$105*0.3</f>
        <v>3.758332319458333</v>
      </c>
      <c r="D112" s="59"/>
      <c r="E112" s="63">
        <f>C112</f>
        <v>3.758332319458333</v>
      </c>
      <c r="F112" s="65"/>
      <c r="G112" s="65"/>
    </row>
    <row r="113" spans="1:7" ht="12.75">
      <c r="A113" s="59">
        <v>5</v>
      </c>
      <c r="B113" s="59"/>
      <c r="C113" s="67">
        <f>$D$105*0.7</f>
        <v>8.76944207873611</v>
      </c>
      <c r="D113" s="59"/>
      <c r="E113" s="63">
        <f aca="true" t="shared" si="4" ref="E113:E136">C113</f>
        <v>8.76944207873611</v>
      </c>
      <c r="F113" s="66"/>
      <c r="G113" s="65"/>
    </row>
    <row r="114" spans="1:7" ht="12.75">
      <c r="A114" s="59">
        <v>6</v>
      </c>
      <c r="B114" s="59"/>
      <c r="C114" s="67">
        <f>$D$105</f>
        <v>12.527774398194444</v>
      </c>
      <c r="D114" s="59"/>
      <c r="E114" s="63">
        <f t="shared" si="4"/>
        <v>12.527774398194444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12.527774398194444</v>
      </c>
      <c r="D115" s="59"/>
      <c r="E115" s="63">
        <f t="shared" si="4"/>
        <v>12.527774398194444</v>
      </c>
      <c r="F115" s="66"/>
      <c r="G115" s="65"/>
    </row>
    <row r="116" spans="1:7" ht="12.75">
      <c r="A116" s="59">
        <v>8</v>
      </c>
      <c r="B116" s="59"/>
      <c r="C116" s="67">
        <f t="shared" si="5"/>
        <v>12.527774398194444</v>
      </c>
      <c r="D116" s="59"/>
      <c r="E116" s="63">
        <f t="shared" si="4"/>
        <v>12.527774398194444</v>
      </c>
      <c r="F116" s="66"/>
      <c r="G116" s="65"/>
    </row>
    <row r="117" spans="1:7" ht="12.75">
      <c r="A117" s="59">
        <v>9</v>
      </c>
      <c r="B117" s="59"/>
      <c r="C117" s="67">
        <f t="shared" si="5"/>
        <v>12.527774398194444</v>
      </c>
      <c r="D117" s="59"/>
      <c r="E117" s="63">
        <f t="shared" si="4"/>
        <v>12.527774398194444</v>
      </c>
      <c r="F117" s="66"/>
      <c r="G117" s="65"/>
    </row>
    <row r="118" spans="1:7" ht="12.75">
      <c r="A118" s="59">
        <v>10</v>
      </c>
      <c r="B118" s="59"/>
      <c r="C118" s="67">
        <f t="shared" si="5"/>
        <v>12.527774398194444</v>
      </c>
      <c r="D118" s="59"/>
      <c r="E118" s="63">
        <f t="shared" si="4"/>
        <v>12.527774398194444</v>
      </c>
      <c r="F118" s="66"/>
      <c r="G118" s="65"/>
    </row>
    <row r="119" spans="1:7" ht="12.75">
      <c r="A119" s="59">
        <v>11</v>
      </c>
      <c r="B119" s="59"/>
      <c r="C119" s="67">
        <f t="shared" si="5"/>
        <v>12.527774398194444</v>
      </c>
      <c r="D119" s="59"/>
      <c r="E119" s="63">
        <f t="shared" si="4"/>
        <v>12.527774398194444</v>
      </c>
      <c r="F119" s="66"/>
      <c r="G119" s="65"/>
    </row>
    <row r="120" spans="1:7" ht="12.75">
      <c r="A120" s="59">
        <v>12</v>
      </c>
      <c r="B120" s="59"/>
      <c r="C120" s="67">
        <f t="shared" si="5"/>
        <v>12.527774398194444</v>
      </c>
      <c r="D120" s="59"/>
      <c r="E120" s="63">
        <f t="shared" si="4"/>
        <v>12.527774398194444</v>
      </c>
      <c r="F120" s="66"/>
      <c r="G120" s="65"/>
    </row>
    <row r="121" spans="1:7" ht="12.75">
      <c r="A121" s="59">
        <v>13</v>
      </c>
      <c r="B121" s="59"/>
      <c r="C121" s="67">
        <f t="shared" si="5"/>
        <v>12.527774398194444</v>
      </c>
      <c r="D121" s="59"/>
      <c r="E121" s="63">
        <f t="shared" si="4"/>
        <v>12.527774398194444</v>
      </c>
      <c r="F121" s="66"/>
      <c r="G121" s="65"/>
    </row>
    <row r="122" spans="1:7" ht="12.75">
      <c r="A122" s="59">
        <v>14</v>
      </c>
      <c r="B122" s="59"/>
      <c r="C122" s="67">
        <f t="shared" si="5"/>
        <v>12.527774398194444</v>
      </c>
      <c r="D122" s="59"/>
      <c r="E122" s="63">
        <f t="shared" si="4"/>
        <v>12.527774398194444</v>
      </c>
      <c r="F122" s="66"/>
      <c r="G122" s="65"/>
    </row>
    <row r="123" spans="1:7" ht="12.75">
      <c r="A123" s="59">
        <v>15</v>
      </c>
      <c r="B123" s="59"/>
      <c r="C123" s="67">
        <f t="shared" si="5"/>
        <v>12.527774398194444</v>
      </c>
      <c r="D123" s="59"/>
      <c r="E123" s="63">
        <f t="shared" si="4"/>
        <v>12.527774398194444</v>
      </c>
      <c r="F123" s="66"/>
      <c r="G123" s="65"/>
    </row>
    <row r="124" spans="1:7" ht="12.75">
      <c r="A124" s="59">
        <v>16</v>
      </c>
      <c r="B124" s="59"/>
      <c r="C124" s="67">
        <f t="shared" si="5"/>
        <v>12.527774398194444</v>
      </c>
      <c r="D124" s="59"/>
      <c r="E124" s="63">
        <f t="shared" si="4"/>
        <v>12.527774398194444</v>
      </c>
      <c r="F124" s="66"/>
      <c r="G124" s="65"/>
    </row>
    <row r="125" spans="1:7" ht="12.75">
      <c r="A125" s="59">
        <v>17</v>
      </c>
      <c r="B125" s="59"/>
      <c r="C125" s="67">
        <f t="shared" si="5"/>
        <v>12.527774398194444</v>
      </c>
      <c r="D125" s="59"/>
      <c r="E125" s="63">
        <f t="shared" si="4"/>
        <v>12.527774398194444</v>
      </c>
      <c r="F125" s="66"/>
      <c r="G125" s="65"/>
    </row>
    <row r="126" spans="1:7" ht="12.75">
      <c r="A126" s="59">
        <v>18</v>
      </c>
      <c r="B126" s="59"/>
      <c r="C126" s="67">
        <f t="shared" si="5"/>
        <v>12.527774398194444</v>
      </c>
      <c r="D126" s="59"/>
      <c r="E126" s="63">
        <f t="shared" si="4"/>
        <v>12.527774398194444</v>
      </c>
      <c r="F126" s="66"/>
      <c r="G126" s="65"/>
    </row>
    <row r="127" spans="1:7" ht="12.75">
      <c r="A127" s="59">
        <v>19</v>
      </c>
      <c r="B127" s="59"/>
      <c r="C127" s="67">
        <f t="shared" si="5"/>
        <v>12.527774398194444</v>
      </c>
      <c r="D127" s="59"/>
      <c r="E127" s="63">
        <f t="shared" si="4"/>
        <v>12.527774398194444</v>
      </c>
      <c r="F127" s="66"/>
      <c r="G127" s="65"/>
    </row>
    <row r="128" spans="1:7" ht="12.75">
      <c r="A128" s="59">
        <v>20</v>
      </c>
      <c r="B128" s="59"/>
      <c r="C128" s="67">
        <f t="shared" si="5"/>
        <v>12.527774398194444</v>
      </c>
      <c r="D128" s="59"/>
      <c r="E128" s="63">
        <f t="shared" si="4"/>
        <v>12.527774398194444</v>
      </c>
      <c r="F128" s="66"/>
      <c r="G128" s="65"/>
    </row>
    <row r="129" spans="1:7" ht="12.75">
      <c r="A129" s="59">
        <v>21</v>
      </c>
      <c r="B129" s="59"/>
      <c r="C129" s="67">
        <f t="shared" si="5"/>
        <v>12.527774398194444</v>
      </c>
      <c r="D129" s="59"/>
      <c r="E129" s="63">
        <f t="shared" si="4"/>
        <v>12.527774398194444</v>
      </c>
      <c r="F129" s="66"/>
      <c r="G129" s="65"/>
    </row>
    <row r="130" spans="1:7" ht="12.75">
      <c r="A130" s="59">
        <v>22</v>
      </c>
      <c r="B130" s="59"/>
      <c r="C130" s="67">
        <f t="shared" si="5"/>
        <v>12.527774398194444</v>
      </c>
      <c r="D130" s="59"/>
      <c r="E130" s="63">
        <f t="shared" si="4"/>
        <v>12.527774398194444</v>
      </c>
      <c r="F130" s="66"/>
      <c r="G130" s="65"/>
    </row>
    <row r="131" spans="1:7" ht="12.75">
      <c r="A131" s="59">
        <v>23</v>
      </c>
      <c r="B131" s="59"/>
      <c r="C131" s="67">
        <f t="shared" si="5"/>
        <v>12.527774398194444</v>
      </c>
      <c r="D131" s="59"/>
      <c r="E131" s="63">
        <f t="shared" si="4"/>
        <v>12.527774398194444</v>
      </c>
      <c r="F131" s="66"/>
      <c r="G131" s="65"/>
    </row>
    <row r="132" spans="1:7" ht="12.75">
      <c r="A132" s="59">
        <v>24</v>
      </c>
      <c r="B132" s="59"/>
      <c r="C132" s="67">
        <f t="shared" si="5"/>
        <v>12.527774398194444</v>
      </c>
      <c r="D132" s="59"/>
      <c r="E132" s="63">
        <f t="shared" si="4"/>
        <v>12.527774398194444</v>
      </c>
      <c r="F132" s="66"/>
      <c r="G132" s="65"/>
    </row>
    <row r="133" spans="1:7" ht="12.75">
      <c r="A133" s="59">
        <v>25</v>
      </c>
      <c r="B133" s="59"/>
      <c r="C133" s="67">
        <f t="shared" si="5"/>
        <v>12.527774398194444</v>
      </c>
      <c r="D133" s="59"/>
      <c r="E133" s="63">
        <f t="shared" si="4"/>
        <v>12.527774398194444</v>
      </c>
      <c r="F133" s="66"/>
      <c r="G133" s="65"/>
    </row>
    <row r="134" spans="1:7" ht="12.75">
      <c r="A134" s="59">
        <v>26</v>
      </c>
      <c r="B134" s="59"/>
      <c r="C134" s="67">
        <f t="shared" si="5"/>
        <v>12.527774398194444</v>
      </c>
      <c r="D134" s="59"/>
      <c r="E134" s="63">
        <f t="shared" si="4"/>
        <v>12.527774398194444</v>
      </c>
      <c r="F134" s="66"/>
      <c r="G134" s="65"/>
    </row>
    <row r="135" spans="1:7" ht="12.75">
      <c r="A135" s="59">
        <v>27</v>
      </c>
      <c r="B135" s="59"/>
      <c r="C135" s="67">
        <f t="shared" si="5"/>
        <v>12.527774398194444</v>
      </c>
      <c r="D135" s="59"/>
      <c r="E135" s="63">
        <f t="shared" si="4"/>
        <v>12.527774398194444</v>
      </c>
      <c r="F135" s="66"/>
      <c r="G135" s="65"/>
    </row>
    <row r="136" spans="1:7" ht="13.5" thickBot="1">
      <c r="A136" s="138">
        <v>28</v>
      </c>
      <c r="B136" s="138"/>
      <c r="C136" s="139">
        <f>$D$84</f>
        <v>12.527774398194444</v>
      </c>
      <c r="D136" s="138"/>
      <c r="E136" s="140">
        <f t="shared" si="4"/>
        <v>12.527774398194444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14.20396875</v>
      </c>
    </row>
    <row r="139" spans="1:4" ht="12.75">
      <c r="A139" s="53" t="s">
        <v>48</v>
      </c>
      <c r="B139" s="53"/>
      <c r="C139" s="53"/>
      <c r="D139" s="53">
        <f>$D$48</f>
        <v>1.6761943518055555</v>
      </c>
    </row>
    <row r="140" spans="1:4" ht="16.5" thickBot="1">
      <c r="A140" s="54" t="s">
        <v>196</v>
      </c>
      <c r="B140" s="55"/>
      <c r="C140" s="55"/>
      <c r="D140" s="55">
        <f>D138-D139</f>
        <v>12.527774398194444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12.157298888888889</v>
      </c>
      <c r="C144" s="59">
        <v>0</v>
      </c>
      <c r="D144" s="59"/>
      <c r="E144" s="63">
        <f>+B144*-1</f>
        <v>-12.157298888888889</v>
      </c>
      <c r="F144" s="64">
        <f>IRR(E144:E221,0.1)</f>
        <v>0.12371556388827423</v>
      </c>
      <c r="G144" s="81">
        <f>NPV(Param!$B$38,E144:E221)</f>
        <v>126.06385422821593</v>
      </c>
    </row>
    <row r="145" spans="1:7" ht="12.75">
      <c r="A145" s="59">
        <v>2</v>
      </c>
      <c r="B145" s="62">
        <f>0.4*D32</f>
        <v>28.62919555555556</v>
      </c>
      <c r="C145" s="59">
        <v>0</v>
      </c>
      <c r="D145" s="59"/>
      <c r="E145" s="63">
        <f>+B145*-1</f>
        <v>-28.62919555555556</v>
      </c>
      <c r="F145" s="65"/>
      <c r="G145" s="65"/>
    </row>
    <row r="146" spans="1:7" ht="12.75">
      <c r="A146" s="59">
        <v>3</v>
      </c>
      <c r="B146" s="62">
        <f>0.6*D32</f>
        <v>42.94379333333334</v>
      </c>
      <c r="C146" s="59">
        <v>0</v>
      </c>
      <c r="D146" s="59"/>
      <c r="E146" s="63">
        <f>+B146*-1</f>
        <v>-42.94379333333334</v>
      </c>
      <c r="F146" s="66"/>
      <c r="G146" s="65"/>
    </row>
    <row r="147" spans="1:7" ht="12.75">
      <c r="A147" s="59">
        <v>4</v>
      </c>
      <c r="B147" s="59"/>
      <c r="C147" s="67">
        <f>$D$140*0.3</f>
        <v>3.758332319458333</v>
      </c>
      <c r="D147" s="59"/>
      <c r="E147" s="63">
        <f>C147</f>
        <v>3.758332319458333</v>
      </c>
      <c r="F147" s="65"/>
      <c r="G147" s="65"/>
    </row>
    <row r="148" spans="1:7" ht="12.75">
      <c r="A148" s="59">
        <v>5</v>
      </c>
      <c r="B148" s="59"/>
      <c r="C148" s="67">
        <f>$D$140*0.7</f>
        <v>8.76944207873611</v>
      </c>
      <c r="D148" s="59"/>
      <c r="E148" s="63">
        <f aca="true" t="shared" si="6" ref="E148:E211">C148</f>
        <v>8.76944207873611</v>
      </c>
      <c r="F148" s="66"/>
      <c r="G148" s="65"/>
    </row>
    <row r="149" spans="1:7" ht="12.75">
      <c r="A149" s="59">
        <v>6</v>
      </c>
      <c r="B149" s="59"/>
      <c r="C149" s="67">
        <f>$D$140</f>
        <v>12.527774398194444</v>
      </c>
      <c r="D149" s="59"/>
      <c r="E149" s="63">
        <f t="shared" si="6"/>
        <v>12.527774398194444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12.527774398194444</v>
      </c>
      <c r="D150" s="59"/>
      <c r="E150" s="63">
        <f t="shared" si="6"/>
        <v>12.527774398194444</v>
      </c>
      <c r="F150" s="66"/>
      <c r="G150" s="65"/>
    </row>
    <row r="151" spans="1:7" ht="12.75">
      <c r="A151" s="59">
        <v>8</v>
      </c>
      <c r="B151" s="59"/>
      <c r="C151" s="67">
        <f t="shared" si="7"/>
        <v>12.527774398194444</v>
      </c>
      <c r="D151" s="59"/>
      <c r="E151" s="63">
        <f t="shared" si="6"/>
        <v>12.527774398194444</v>
      </c>
      <c r="F151" s="66"/>
      <c r="G151" s="65"/>
    </row>
    <row r="152" spans="1:7" ht="12.75">
      <c r="A152" s="59">
        <v>9</v>
      </c>
      <c r="B152" s="59"/>
      <c r="C152" s="67">
        <f t="shared" si="7"/>
        <v>12.527774398194444</v>
      </c>
      <c r="D152" s="59"/>
      <c r="E152" s="63">
        <f t="shared" si="6"/>
        <v>12.527774398194444</v>
      </c>
      <c r="F152" s="66"/>
      <c r="G152" s="65"/>
    </row>
    <row r="153" spans="1:7" ht="12.75">
      <c r="A153" s="59">
        <v>10</v>
      </c>
      <c r="B153" s="59"/>
      <c r="C153" s="67">
        <f t="shared" si="7"/>
        <v>12.527774398194444</v>
      </c>
      <c r="D153" s="59"/>
      <c r="E153" s="63">
        <f t="shared" si="6"/>
        <v>12.527774398194444</v>
      </c>
      <c r="F153" s="66"/>
      <c r="G153" s="65"/>
    </row>
    <row r="154" spans="1:7" ht="12.75">
      <c r="A154" s="59">
        <v>11</v>
      </c>
      <c r="C154" s="67">
        <f t="shared" si="7"/>
        <v>12.527774398194444</v>
      </c>
      <c r="E154" s="63">
        <f t="shared" si="6"/>
        <v>12.527774398194444</v>
      </c>
      <c r="F154" s="66"/>
      <c r="G154" s="65"/>
    </row>
    <row r="155" spans="1:7" ht="12.75">
      <c r="A155" s="59">
        <v>12</v>
      </c>
      <c r="C155" s="67">
        <f t="shared" si="7"/>
        <v>12.527774398194444</v>
      </c>
      <c r="E155" s="63">
        <f t="shared" si="6"/>
        <v>12.527774398194444</v>
      </c>
      <c r="F155" s="66"/>
      <c r="G155" s="65"/>
    </row>
    <row r="156" spans="1:7" ht="12.75">
      <c r="A156" s="59">
        <v>13</v>
      </c>
      <c r="C156" s="67">
        <f t="shared" si="7"/>
        <v>12.527774398194444</v>
      </c>
      <c r="E156" s="63">
        <f t="shared" si="6"/>
        <v>12.527774398194444</v>
      </c>
      <c r="F156" s="66"/>
      <c r="G156" s="65"/>
    </row>
    <row r="157" spans="1:7" ht="12.75">
      <c r="A157" s="59">
        <v>14</v>
      </c>
      <c r="C157" s="67">
        <f t="shared" si="7"/>
        <v>12.527774398194444</v>
      </c>
      <c r="E157" s="63">
        <f t="shared" si="6"/>
        <v>12.527774398194444</v>
      </c>
      <c r="F157" s="66"/>
      <c r="G157" s="65"/>
    </row>
    <row r="158" spans="1:7" ht="12.75">
      <c r="A158" s="59">
        <v>15</v>
      </c>
      <c r="C158" s="67">
        <f t="shared" si="7"/>
        <v>12.527774398194444</v>
      </c>
      <c r="E158" s="63">
        <f t="shared" si="6"/>
        <v>12.527774398194444</v>
      </c>
      <c r="F158" s="66"/>
      <c r="G158" s="65"/>
    </row>
    <row r="159" spans="1:7" ht="12.75">
      <c r="A159" s="59">
        <v>16</v>
      </c>
      <c r="C159" s="67">
        <f t="shared" si="7"/>
        <v>12.527774398194444</v>
      </c>
      <c r="E159" s="63">
        <f t="shared" si="6"/>
        <v>12.527774398194444</v>
      </c>
      <c r="F159" s="66"/>
      <c r="G159" s="65"/>
    </row>
    <row r="160" spans="1:7" ht="12.75">
      <c r="A160" s="59">
        <v>17</v>
      </c>
      <c r="C160" s="67">
        <f t="shared" si="7"/>
        <v>12.527774398194444</v>
      </c>
      <c r="E160" s="63">
        <f t="shared" si="6"/>
        <v>12.527774398194444</v>
      </c>
      <c r="F160" s="66"/>
      <c r="G160" s="65"/>
    </row>
    <row r="161" spans="1:7" ht="12.75">
      <c r="A161" s="59">
        <v>18</v>
      </c>
      <c r="C161" s="67">
        <f t="shared" si="7"/>
        <v>12.527774398194444</v>
      </c>
      <c r="E161" s="63">
        <f t="shared" si="6"/>
        <v>12.527774398194444</v>
      </c>
      <c r="F161" s="66"/>
      <c r="G161" s="65"/>
    </row>
    <row r="162" spans="1:7" ht="12.75">
      <c r="A162" s="59">
        <v>19</v>
      </c>
      <c r="C162" s="67">
        <f t="shared" si="7"/>
        <v>12.527774398194444</v>
      </c>
      <c r="E162" s="63">
        <f t="shared" si="6"/>
        <v>12.527774398194444</v>
      </c>
      <c r="F162" s="66"/>
      <c r="G162" s="65"/>
    </row>
    <row r="163" spans="1:7" ht="12.75">
      <c r="A163" s="59">
        <v>20</v>
      </c>
      <c r="C163" s="67">
        <f t="shared" si="7"/>
        <v>12.527774398194444</v>
      </c>
      <c r="E163" s="63">
        <f t="shared" si="6"/>
        <v>12.527774398194444</v>
      </c>
      <c r="F163" s="66"/>
      <c r="G163" s="65"/>
    </row>
    <row r="164" spans="1:7" ht="12.75">
      <c r="A164" s="59">
        <v>21</v>
      </c>
      <c r="C164" s="67">
        <f t="shared" si="7"/>
        <v>12.527774398194444</v>
      </c>
      <c r="E164" s="63">
        <f t="shared" si="6"/>
        <v>12.527774398194444</v>
      </c>
      <c r="F164" s="66"/>
      <c r="G164" s="65"/>
    </row>
    <row r="165" spans="1:7" ht="12.75">
      <c r="A165" s="59">
        <v>22</v>
      </c>
      <c r="C165" s="67">
        <f t="shared" si="7"/>
        <v>12.527774398194444</v>
      </c>
      <c r="E165" s="63">
        <f t="shared" si="6"/>
        <v>12.527774398194444</v>
      </c>
      <c r="F165" s="66"/>
      <c r="G165" s="65"/>
    </row>
    <row r="166" spans="1:7" ht="12.75">
      <c r="A166" s="59">
        <v>23</v>
      </c>
      <c r="C166" s="67">
        <f t="shared" si="7"/>
        <v>12.527774398194444</v>
      </c>
      <c r="E166" s="63">
        <f t="shared" si="6"/>
        <v>12.527774398194444</v>
      </c>
      <c r="F166" s="66"/>
      <c r="G166" s="65"/>
    </row>
    <row r="167" spans="1:7" ht="12.75">
      <c r="A167" s="59">
        <v>24</v>
      </c>
      <c r="C167" s="67">
        <f t="shared" si="7"/>
        <v>12.527774398194444</v>
      </c>
      <c r="E167" s="63">
        <f t="shared" si="6"/>
        <v>12.527774398194444</v>
      </c>
      <c r="F167" s="66"/>
      <c r="G167" s="65"/>
    </row>
    <row r="168" spans="1:7" ht="12.75">
      <c r="A168" s="59">
        <v>25</v>
      </c>
      <c r="C168" s="67">
        <f t="shared" si="7"/>
        <v>12.527774398194444</v>
      </c>
      <c r="E168" s="63">
        <f t="shared" si="6"/>
        <v>12.527774398194444</v>
      </c>
      <c r="F168" s="66"/>
      <c r="G168" s="65"/>
    </row>
    <row r="169" spans="1:7" ht="12.75">
      <c r="A169" s="59">
        <v>26</v>
      </c>
      <c r="C169" s="67">
        <f t="shared" si="7"/>
        <v>12.527774398194444</v>
      </c>
      <c r="E169" s="63">
        <f t="shared" si="6"/>
        <v>12.527774398194444</v>
      </c>
      <c r="F169" s="66"/>
      <c r="G169" s="65"/>
    </row>
    <row r="170" spans="1:7" ht="12.75">
      <c r="A170" s="59">
        <v>27</v>
      </c>
      <c r="C170" s="67">
        <f t="shared" si="7"/>
        <v>12.527774398194444</v>
      </c>
      <c r="E170" s="63">
        <f t="shared" si="6"/>
        <v>12.527774398194444</v>
      </c>
      <c r="F170" s="66"/>
      <c r="G170" s="65"/>
    </row>
    <row r="171" spans="1:7" ht="12.75">
      <c r="A171" s="59">
        <v>28</v>
      </c>
      <c r="C171" s="67">
        <f t="shared" si="7"/>
        <v>12.527774398194444</v>
      </c>
      <c r="E171" s="63">
        <f t="shared" si="6"/>
        <v>12.527774398194444</v>
      </c>
      <c r="F171" s="66"/>
      <c r="G171" s="65"/>
    </row>
    <row r="172" spans="1:7" ht="12.75">
      <c r="A172" s="59">
        <v>29</v>
      </c>
      <c r="C172" s="67">
        <f t="shared" si="7"/>
        <v>12.527774398194444</v>
      </c>
      <c r="E172" s="63">
        <f t="shared" si="6"/>
        <v>12.527774398194444</v>
      </c>
      <c r="F172" s="66"/>
      <c r="G172" s="65"/>
    </row>
    <row r="173" spans="1:7" ht="12.75">
      <c r="A173" s="59">
        <v>30</v>
      </c>
      <c r="C173" s="67">
        <f t="shared" si="7"/>
        <v>12.527774398194444</v>
      </c>
      <c r="E173" s="63">
        <f t="shared" si="6"/>
        <v>12.527774398194444</v>
      </c>
      <c r="F173" s="66"/>
      <c r="G173" s="65"/>
    </row>
    <row r="174" spans="1:7" ht="12.75">
      <c r="A174" s="59">
        <v>31</v>
      </c>
      <c r="C174" s="67">
        <f t="shared" si="7"/>
        <v>12.527774398194444</v>
      </c>
      <c r="E174" s="63">
        <f t="shared" si="6"/>
        <v>12.527774398194444</v>
      </c>
      <c r="F174" s="66"/>
      <c r="G174" s="65"/>
    </row>
    <row r="175" spans="1:7" ht="12.75">
      <c r="A175" s="59">
        <v>32</v>
      </c>
      <c r="C175" s="67">
        <f t="shared" si="7"/>
        <v>12.527774398194444</v>
      </c>
      <c r="E175" s="63">
        <f t="shared" si="6"/>
        <v>12.527774398194444</v>
      </c>
      <c r="F175" s="66"/>
      <c r="G175" s="65"/>
    </row>
    <row r="176" spans="1:7" ht="12.75">
      <c r="A176" s="59">
        <v>33</v>
      </c>
      <c r="C176" s="67">
        <f t="shared" si="7"/>
        <v>12.527774398194444</v>
      </c>
      <c r="E176" s="63">
        <f t="shared" si="6"/>
        <v>12.527774398194444</v>
      </c>
      <c r="F176" s="66"/>
      <c r="G176" s="65"/>
    </row>
    <row r="177" spans="1:7" ht="12.75">
      <c r="A177" s="59">
        <v>34</v>
      </c>
      <c r="C177" s="67">
        <f t="shared" si="7"/>
        <v>12.527774398194444</v>
      </c>
      <c r="E177" s="63">
        <f t="shared" si="6"/>
        <v>12.527774398194444</v>
      </c>
      <c r="F177" s="66"/>
      <c r="G177" s="65"/>
    </row>
    <row r="178" spans="1:7" ht="12.75">
      <c r="A178" s="59">
        <v>35</v>
      </c>
      <c r="C178" s="67">
        <f t="shared" si="7"/>
        <v>12.527774398194444</v>
      </c>
      <c r="E178" s="63">
        <f t="shared" si="6"/>
        <v>12.527774398194444</v>
      </c>
      <c r="F178" s="66"/>
      <c r="G178" s="65"/>
    </row>
    <row r="179" spans="1:7" ht="12.75">
      <c r="A179" s="59">
        <v>36</v>
      </c>
      <c r="C179" s="67">
        <f t="shared" si="7"/>
        <v>12.527774398194444</v>
      </c>
      <c r="E179" s="63">
        <f t="shared" si="6"/>
        <v>12.527774398194444</v>
      </c>
      <c r="F179" s="66"/>
      <c r="G179" s="65"/>
    </row>
    <row r="180" spans="1:7" ht="12.75">
      <c r="A180" s="59">
        <v>37</v>
      </c>
      <c r="C180" s="67">
        <f t="shared" si="7"/>
        <v>12.527774398194444</v>
      </c>
      <c r="E180" s="63">
        <f t="shared" si="6"/>
        <v>12.527774398194444</v>
      </c>
      <c r="F180" s="66"/>
      <c r="G180" s="65"/>
    </row>
    <row r="181" spans="1:7" ht="12.75">
      <c r="A181" s="59">
        <v>38</v>
      </c>
      <c r="C181" s="67">
        <f t="shared" si="7"/>
        <v>12.527774398194444</v>
      </c>
      <c r="E181" s="63">
        <f t="shared" si="6"/>
        <v>12.527774398194444</v>
      </c>
      <c r="F181" s="66"/>
      <c r="G181" s="65"/>
    </row>
    <row r="182" spans="1:7" ht="12.75">
      <c r="A182" s="59">
        <v>39</v>
      </c>
      <c r="C182" s="67">
        <f t="shared" si="7"/>
        <v>12.527774398194444</v>
      </c>
      <c r="E182" s="63">
        <f t="shared" si="6"/>
        <v>12.527774398194444</v>
      </c>
      <c r="F182" s="66"/>
      <c r="G182" s="65"/>
    </row>
    <row r="183" spans="1:7" ht="12.75">
      <c r="A183" s="59">
        <v>40</v>
      </c>
      <c r="C183" s="67">
        <f t="shared" si="7"/>
        <v>12.527774398194444</v>
      </c>
      <c r="E183" s="63">
        <f t="shared" si="6"/>
        <v>12.527774398194444</v>
      </c>
      <c r="F183" s="66"/>
      <c r="G183" s="65"/>
    </row>
    <row r="184" spans="1:7" ht="12.75">
      <c r="A184" s="59">
        <v>41</v>
      </c>
      <c r="C184" s="67">
        <f t="shared" si="7"/>
        <v>12.527774398194444</v>
      </c>
      <c r="E184" s="63">
        <f t="shared" si="6"/>
        <v>12.527774398194444</v>
      </c>
      <c r="F184" s="66"/>
      <c r="G184" s="65"/>
    </row>
    <row r="185" spans="1:7" ht="12.75">
      <c r="A185" s="59">
        <v>42</v>
      </c>
      <c r="C185" s="67">
        <f t="shared" si="7"/>
        <v>12.527774398194444</v>
      </c>
      <c r="E185" s="63">
        <f t="shared" si="6"/>
        <v>12.527774398194444</v>
      </c>
      <c r="F185" s="66"/>
      <c r="G185" s="65"/>
    </row>
    <row r="186" spans="1:7" ht="12.75">
      <c r="A186" s="59">
        <v>43</v>
      </c>
      <c r="C186" s="67">
        <f t="shared" si="7"/>
        <v>12.527774398194444</v>
      </c>
      <c r="E186" s="63">
        <f t="shared" si="6"/>
        <v>12.527774398194444</v>
      </c>
      <c r="F186" s="66"/>
      <c r="G186" s="65"/>
    </row>
    <row r="187" spans="1:7" ht="12.75">
      <c r="A187" s="59">
        <v>44</v>
      </c>
      <c r="C187" s="67">
        <f t="shared" si="7"/>
        <v>12.527774398194444</v>
      </c>
      <c r="E187" s="63">
        <f t="shared" si="6"/>
        <v>12.527774398194444</v>
      </c>
      <c r="F187" s="66"/>
      <c r="G187" s="65"/>
    </row>
    <row r="188" spans="1:7" ht="12.75">
      <c r="A188" s="59">
        <v>45</v>
      </c>
      <c r="C188" s="67">
        <f t="shared" si="7"/>
        <v>12.527774398194444</v>
      </c>
      <c r="E188" s="63">
        <f t="shared" si="6"/>
        <v>12.527774398194444</v>
      </c>
      <c r="F188" s="66"/>
      <c r="G188" s="65"/>
    </row>
    <row r="189" spans="1:7" ht="12.75">
      <c r="A189" s="59">
        <v>46</v>
      </c>
      <c r="C189" s="67">
        <f t="shared" si="7"/>
        <v>12.527774398194444</v>
      </c>
      <c r="E189" s="63">
        <f t="shared" si="6"/>
        <v>12.527774398194444</v>
      </c>
      <c r="F189" s="66"/>
      <c r="G189" s="65"/>
    </row>
    <row r="190" spans="1:7" ht="12.75">
      <c r="A190" s="59">
        <v>47</v>
      </c>
      <c r="C190" s="67">
        <f t="shared" si="7"/>
        <v>12.527774398194444</v>
      </c>
      <c r="E190" s="63">
        <f t="shared" si="6"/>
        <v>12.527774398194444</v>
      </c>
      <c r="F190" s="66"/>
      <c r="G190" s="65"/>
    </row>
    <row r="191" spans="1:7" ht="12.75">
      <c r="A191" s="59">
        <v>48</v>
      </c>
      <c r="C191" s="67">
        <f t="shared" si="7"/>
        <v>12.527774398194444</v>
      </c>
      <c r="E191" s="63">
        <f t="shared" si="6"/>
        <v>12.527774398194444</v>
      </c>
      <c r="F191" s="66"/>
      <c r="G191" s="65"/>
    </row>
    <row r="192" spans="1:7" ht="12.75">
      <c r="A192" s="59">
        <v>49</v>
      </c>
      <c r="C192" s="67">
        <f t="shared" si="7"/>
        <v>12.527774398194444</v>
      </c>
      <c r="E192" s="63">
        <f t="shared" si="6"/>
        <v>12.527774398194444</v>
      </c>
      <c r="F192" s="66"/>
      <c r="G192" s="65"/>
    </row>
    <row r="193" spans="1:7" ht="12.75">
      <c r="A193" s="59">
        <v>50</v>
      </c>
      <c r="C193" s="67">
        <f t="shared" si="7"/>
        <v>12.527774398194444</v>
      </c>
      <c r="E193" s="63">
        <f t="shared" si="6"/>
        <v>12.527774398194444</v>
      </c>
      <c r="F193" s="66"/>
      <c r="G193" s="65"/>
    </row>
    <row r="194" spans="1:7" ht="12.75">
      <c r="A194" s="59">
        <v>51</v>
      </c>
      <c r="C194" s="67">
        <f t="shared" si="7"/>
        <v>12.527774398194444</v>
      </c>
      <c r="E194" s="63">
        <f t="shared" si="6"/>
        <v>12.527774398194444</v>
      </c>
      <c r="F194" s="66"/>
      <c r="G194" s="65"/>
    </row>
    <row r="195" spans="1:7" ht="12.75">
      <c r="A195" s="59">
        <v>52</v>
      </c>
      <c r="C195" s="67">
        <f t="shared" si="7"/>
        <v>12.527774398194444</v>
      </c>
      <c r="E195" s="63">
        <f t="shared" si="6"/>
        <v>12.527774398194444</v>
      </c>
      <c r="F195" s="66"/>
      <c r="G195" s="65"/>
    </row>
    <row r="196" spans="1:7" ht="12.75">
      <c r="A196" s="59">
        <v>53</v>
      </c>
      <c r="C196" s="67">
        <f t="shared" si="7"/>
        <v>12.527774398194444</v>
      </c>
      <c r="E196" s="63">
        <f t="shared" si="6"/>
        <v>12.527774398194444</v>
      </c>
      <c r="F196" s="66"/>
      <c r="G196" s="65"/>
    </row>
    <row r="197" spans="1:7" ht="12.75">
      <c r="A197" s="59">
        <v>54</v>
      </c>
      <c r="C197" s="67">
        <f t="shared" si="7"/>
        <v>12.527774398194444</v>
      </c>
      <c r="E197" s="63">
        <f t="shared" si="6"/>
        <v>12.527774398194444</v>
      </c>
      <c r="F197" s="66"/>
      <c r="G197" s="65"/>
    </row>
    <row r="198" spans="1:7" ht="12.75">
      <c r="A198" s="59">
        <v>55</v>
      </c>
      <c r="C198" s="67">
        <f t="shared" si="7"/>
        <v>12.527774398194444</v>
      </c>
      <c r="E198" s="63">
        <f t="shared" si="6"/>
        <v>12.527774398194444</v>
      </c>
      <c r="F198" s="66"/>
      <c r="G198" s="65"/>
    </row>
    <row r="199" spans="1:7" ht="12.75">
      <c r="A199" s="59">
        <v>56</v>
      </c>
      <c r="C199" s="67">
        <f t="shared" si="7"/>
        <v>12.527774398194444</v>
      </c>
      <c r="E199" s="63">
        <f t="shared" si="6"/>
        <v>12.527774398194444</v>
      </c>
      <c r="F199" s="66"/>
      <c r="G199" s="65"/>
    </row>
    <row r="200" spans="1:7" ht="12.75">
      <c r="A200" s="59">
        <v>57</v>
      </c>
      <c r="C200" s="67">
        <f t="shared" si="7"/>
        <v>12.527774398194444</v>
      </c>
      <c r="E200" s="63">
        <f t="shared" si="6"/>
        <v>12.527774398194444</v>
      </c>
      <c r="F200" s="66"/>
      <c r="G200" s="65"/>
    </row>
    <row r="201" spans="1:7" ht="12.75">
      <c r="A201" s="59">
        <v>58</v>
      </c>
      <c r="C201" s="67">
        <f t="shared" si="7"/>
        <v>12.527774398194444</v>
      </c>
      <c r="E201" s="63">
        <f t="shared" si="6"/>
        <v>12.527774398194444</v>
      </c>
      <c r="F201" s="66"/>
      <c r="G201" s="65"/>
    </row>
    <row r="202" spans="1:7" ht="12.75">
      <c r="A202" s="59">
        <v>59</v>
      </c>
      <c r="C202" s="67">
        <f t="shared" si="7"/>
        <v>12.527774398194444</v>
      </c>
      <c r="E202" s="63">
        <f t="shared" si="6"/>
        <v>12.527774398194444</v>
      </c>
      <c r="F202" s="66"/>
      <c r="G202" s="65"/>
    </row>
    <row r="203" spans="1:7" ht="12.75">
      <c r="A203" s="59">
        <v>60</v>
      </c>
      <c r="C203" s="67">
        <f t="shared" si="7"/>
        <v>12.527774398194444</v>
      </c>
      <c r="E203" s="63">
        <f t="shared" si="6"/>
        <v>12.527774398194444</v>
      </c>
      <c r="F203" s="66"/>
      <c r="G203" s="65"/>
    </row>
    <row r="204" spans="1:7" ht="12.75">
      <c r="A204" s="59">
        <v>61</v>
      </c>
      <c r="C204" s="67">
        <f t="shared" si="7"/>
        <v>12.527774398194444</v>
      </c>
      <c r="E204" s="63">
        <f t="shared" si="6"/>
        <v>12.527774398194444</v>
      </c>
      <c r="F204" s="66"/>
      <c r="G204" s="65"/>
    </row>
    <row r="205" spans="1:7" ht="12.75">
      <c r="A205" s="59">
        <v>62</v>
      </c>
      <c r="C205" s="67">
        <f t="shared" si="7"/>
        <v>12.527774398194444</v>
      </c>
      <c r="E205" s="63">
        <f t="shared" si="6"/>
        <v>12.527774398194444</v>
      </c>
      <c r="F205" s="66"/>
      <c r="G205" s="65"/>
    </row>
    <row r="206" spans="1:7" ht="12.75">
      <c r="A206" s="59">
        <v>63</v>
      </c>
      <c r="C206" s="67">
        <f t="shared" si="7"/>
        <v>12.527774398194444</v>
      </c>
      <c r="E206" s="63">
        <f t="shared" si="6"/>
        <v>12.527774398194444</v>
      </c>
      <c r="F206" s="66"/>
      <c r="G206" s="65"/>
    </row>
    <row r="207" spans="1:7" ht="12.75">
      <c r="A207" s="59">
        <v>64</v>
      </c>
      <c r="C207" s="67">
        <f t="shared" si="7"/>
        <v>12.527774398194444</v>
      </c>
      <c r="E207" s="63">
        <f t="shared" si="6"/>
        <v>12.527774398194444</v>
      </c>
      <c r="F207" s="66"/>
      <c r="G207" s="65"/>
    </row>
    <row r="208" spans="1:7" ht="12.75">
      <c r="A208" s="59">
        <v>65</v>
      </c>
      <c r="C208" s="67">
        <f t="shared" si="7"/>
        <v>12.527774398194444</v>
      </c>
      <c r="E208" s="63">
        <f t="shared" si="6"/>
        <v>12.527774398194444</v>
      </c>
      <c r="F208" s="66"/>
      <c r="G208" s="65"/>
    </row>
    <row r="209" spans="1:7" ht="12.75">
      <c r="A209" s="59">
        <v>66</v>
      </c>
      <c r="C209" s="67">
        <f t="shared" si="7"/>
        <v>12.527774398194444</v>
      </c>
      <c r="E209" s="63">
        <f t="shared" si="6"/>
        <v>12.527774398194444</v>
      </c>
      <c r="F209" s="66"/>
      <c r="G209" s="65"/>
    </row>
    <row r="210" spans="1:7" ht="12.75">
      <c r="A210" s="59">
        <v>67</v>
      </c>
      <c r="C210" s="67">
        <f t="shared" si="7"/>
        <v>12.527774398194444</v>
      </c>
      <c r="E210" s="63">
        <f t="shared" si="6"/>
        <v>12.527774398194444</v>
      </c>
      <c r="F210" s="66"/>
      <c r="G210" s="65"/>
    </row>
    <row r="211" spans="1:7" ht="12.75">
      <c r="A211" s="59">
        <v>68</v>
      </c>
      <c r="C211" s="67">
        <f t="shared" si="7"/>
        <v>12.527774398194444</v>
      </c>
      <c r="E211" s="63">
        <f t="shared" si="6"/>
        <v>12.527774398194444</v>
      </c>
      <c r="F211" s="66"/>
      <c r="G211" s="65"/>
    </row>
    <row r="212" spans="1:7" ht="12.75">
      <c r="A212" s="59">
        <v>69</v>
      </c>
      <c r="C212" s="67">
        <f t="shared" si="7"/>
        <v>12.527774398194444</v>
      </c>
      <c r="E212" s="63">
        <f aca="true" t="shared" si="8" ref="E212:E221">C212</f>
        <v>12.527774398194444</v>
      </c>
      <c r="F212" s="66"/>
      <c r="G212" s="65"/>
    </row>
    <row r="213" spans="1:7" ht="12.75">
      <c r="A213" s="59">
        <v>70</v>
      </c>
      <c r="C213" s="67">
        <f t="shared" si="7"/>
        <v>12.527774398194444</v>
      </c>
      <c r="E213" s="63">
        <f t="shared" si="8"/>
        <v>12.527774398194444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12.527774398194444</v>
      </c>
      <c r="E214" s="63">
        <f t="shared" si="8"/>
        <v>12.527774398194444</v>
      </c>
      <c r="F214" s="66"/>
      <c r="G214" s="65"/>
    </row>
    <row r="215" spans="1:7" ht="12.75">
      <c r="A215" s="59">
        <v>72</v>
      </c>
      <c r="C215" s="67">
        <f t="shared" si="9"/>
        <v>12.527774398194444</v>
      </c>
      <c r="E215" s="63">
        <f t="shared" si="8"/>
        <v>12.527774398194444</v>
      </c>
      <c r="F215" s="66"/>
      <c r="G215" s="65"/>
    </row>
    <row r="216" spans="1:7" ht="12.75">
      <c r="A216" s="59">
        <v>73</v>
      </c>
      <c r="C216" s="67">
        <f t="shared" si="9"/>
        <v>12.527774398194444</v>
      </c>
      <c r="E216" s="63">
        <f t="shared" si="8"/>
        <v>12.527774398194444</v>
      </c>
      <c r="F216" s="66"/>
      <c r="G216" s="65"/>
    </row>
    <row r="217" spans="1:7" ht="12.75">
      <c r="A217" s="59">
        <v>74</v>
      </c>
      <c r="C217" s="67">
        <f t="shared" si="9"/>
        <v>12.527774398194444</v>
      </c>
      <c r="E217" s="63">
        <f t="shared" si="8"/>
        <v>12.527774398194444</v>
      </c>
      <c r="F217" s="66"/>
      <c r="G217" s="65"/>
    </row>
    <row r="218" spans="1:7" ht="12.75">
      <c r="A218" s="59">
        <v>75</v>
      </c>
      <c r="C218" s="67">
        <f t="shared" si="9"/>
        <v>12.527774398194444</v>
      </c>
      <c r="E218" s="63">
        <f t="shared" si="8"/>
        <v>12.527774398194444</v>
      </c>
      <c r="F218" s="66"/>
      <c r="G218" s="65"/>
    </row>
    <row r="219" spans="1:7" ht="12.75">
      <c r="A219" s="59">
        <v>76</v>
      </c>
      <c r="C219" s="67">
        <f t="shared" si="9"/>
        <v>12.527774398194444</v>
      </c>
      <c r="E219" s="63">
        <f t="shared" si="8"/>
        <v>12.527774398194444</v>
      </c>
      <c r="F219" s="66"/>
      <c r="G219" s="65"/>
    </row>
    <row r="220" spans="1:7" ht="12.75">
      <c r="A220" s="59">
        <v>77</v>
      </c>
      <c r="C220" s="67">
        <f t="shared" si="9"/>
        <v>12.527774398194444</v>
      </c>
      <c r="E220" s="63">
        <f t="shared" si="8"/>
        <v>12.527774398194444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12.527774398194444</v>
      </c>
      <c r="D221" s="142"/>
      <c r="E221" s="140">
        <f t="shared" si="8"/>
        <v>12.527774398194444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21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18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31.85</v>
      </c>
      <c r="C4" s="2">
        <f>Param!C41</f>
        <v>1.1</v>
      </c>
      <c r="D4" s="2">
        <f aca="true" t="shared" si="0" ref="D4:D9">B4*C4</f>
        <v>35.035000000000004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63.76</v>
      </c>
      <c r="C5" s="2">
        <f>Param!C44</f>
        <v>0.01</v>
      </c>
      <c r="D5" s="2">
        <f t="shared" si="0"/>
        <v>0.6376</v>
      </c>
      <c r="F5" s="42" t="s">
        <v>113</v>
      </c>
      <c r="G5" s="106">
        <f>Param!$D$9</f>
        <v>26</v>
      </c>
      <c r="H5" s="2" t="s">
        <v>76</v>
      </c>
    </row>
    <row r="6" spans="1:7" ht="12.75">
      <c r="A6" s="2" t="s">
        <v>3</v>
      </c>
      <c r="B6" s="11">
        <f>Param!B12*Param!$B$42</f>
        <v>686</v>
      </c>
      <c r="C6" s="2">
        <f>Param!C42</f>
        <v>0.0085</v>
      </c>
      <c r="D6" s="2">
        <f t="shared" si="0"/>
        <v>5.831</v>
      </c>
      <c r="F6" s="74" t="s">
        <v>105</v>
      </c>
      <c r="G6" s="29">
        <f>Param!D12</f>
        <v>31.85</v>
      </c>
    </row>
    <row r="7" spans="1:8" ht="12.75">
      <c r="A7" s="2" t="s">
        <v>184</v>
      </c>
      <c r="B7" s="14">
        <f>G6</f>
        <v>31.85</v>
      </c>
      <c r="C7" s="2">
        <f>Param!$C$45</f>
        <v>0.13</v>
      </c>
      <c r="D7" s="2">
        <f t="shared" si="0"/>
        <v>4.1405</v>
      </c>
      <c r="F7" s="45" t="s">
        <v>153</v>
      </c>
      <c r="G7" s="29">
        <f>Param!D18</f>
        <v>5</v>
      </c>
      <c r="H7" s="2" t="s">
        <v>76</v>
      </c>
    </row>
    <row r="8" spans="1:8" ht="12.75">
      <c r="A8" s="2" t="s">
        <v>0</v>
      </c>
      <c r="B8" s="11">
        <f>Param!B12</f>
        <v>19.6</v>
      </c>
      <c r="C8" s="2">
        <f>Param!C43</f>
        <v>0.15</v>
      </c>
      <c r="D8" s="2">
        <f t="shared" si="0"/>
        <v>2.94</v>
      </c>
      <c r="F8" s="43" t="s">
        <v>154</v>
      </c>
      <c r="G8" s="29">
        <f>Param!D18*(1+Param!B19)</f>
        <v>7</v>
      </c>
      <c r="H8" s="2" t="s">
        <v>76</v>
      </c>
    </row>
    <row r="9" spans="1:7" ht="12.75">
      <c r="A9" s="2" t="s">
        <v>19</v>
      </c>
      <c r="B9" s="11">
        <f>Param!B12</f>
        <v>19.6</v>
      </c>
      <c r="C9" s="2">
        <f>Param!C48</f>
        <v>0.1</v>
      </c>
      <c r="D9" s="2">
        <f t="shared" si="0"/>
        <v>1.9600000000000002</v>
      </c>
      <c r="F9" s="51" t="s">
        <v>70</v>
      </c>
      <c r="G9" s="130">
        <f>Param!$D$17</f>
        <v>28250</v>
      </c>
    </row>
    <row r="10" spans="1:7" ht="12.75">
      <c r="A10" s="15" t="s">
        <v>90</v>
      </c>
      <c r="B10" s="103"/>
      <c r="C10" s="102"/>
      <c r="D10" s="15">
        <f>SUM(D4:D9)</f>
        <v>50.54410000000001</v>
      </c>
      <c r="F10" s="51" t="s">
        <v>171</v>
      </c>
      <c r="G10" s="131">
        <f>G9*365</f>
        <v>10311250</v>
      </c>
    </row>
    <row r="11" spans="2:7" ht="12.75">
      <c r="B11" s="11"/>
      <c r="F11" s="51" t="s">
        <v>375</v>
      </c>
      <c r="G11" s="131">
        <f>G7*G10</f>
        <v>51556250</v>
      </c>
    </row>
    <row r="12" spans="1:7" ht="12.75">
      <c r="A12" s="2" t="s">
        <v>93</v>
      </c>
      <c r="B12" s="10">
        <f>$G$5*Param!$D$46</f>
        <v>26</v>
      </c>
      <c r="C12" s="2">
        <f>Param!E46</f>
        <v>0.2</v>
      </c>
      <c r="D12" s="2">
        <f>B12*C12</f>
        <v>5.2</v>
      </c>
      <c r="F12" s="51" t="s">
        <v>376</v>
      </c>
      <c r="G12" s="131">
        <f>G8*G10</f>
        <v>72178750</v>
      </c>
    </row>
    <row r="13" spans="1:7" ht="13.5" thickBot="1">
      <c r="A13" s="4" t="s">
        <v>72</v>
      </c>
      <c r="B13" s="4">
        <f>$G$5*Param!$D$47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5650</v>
      </c>
    </row>
    <row r="14" spans="1:7" ht="12.75">
      <c r="A14" s="104" t="s">
        <v>110</v>
      </c>
      <c r="B14" s="101"/>
      <c r="C14" s="100"/>
      <c r="D14" s="104">
        <f>SUM(D12:D13)</f>
        <v>5.2</v>
      </c>
      <c r="E14" s="6"/>
      <c r="F14" s="105" t="s">
        <v>175</v>
      </c>
      <c r="G14" s="2">
        <f>Param!B22/60</f>
        <v>0.1037037037037037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7920.000000000001</v>
      </c>
    </row>
    <row r="16" spans="1:8" ht="12.75">
      <c r="A16" s="15" t="s">
        <v>111</v>
      </c>
      <c r="B16" s="16"/>
      <c r="C16" s="17"/>
      <c r="D16" s="15">
        <f>D10+D14</f>
        <v>55.74410000000001</v>
      </c>
      <c r="F16" s="45" t="s">
        <v>178</v>
      </c>
      <c r="G16" s="260">
        <f>Param!D31</f>
        <v>2.75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1.3020576131687243</v>
      </c>
      <c r="D18" s="18">
        <f>C18+B18</f>
        <v>4.302057613168724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60.04615761316873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26</v>
      </c>
      <c r="C23" s="2">
        <f>Param!C53</f>
        <v>0.1</v>
      </c>
      <c r="D23" s="2">
        <f>B23*C23</f>
        <v>2.6</v>
      </c>
    </row>
    <row r="24" spans="1:4" ht="12.75">
      <c r="A24" s="2" t="s">
        <v>6</v>
      </c>
      <c r="B24" s="11">
        <f>B12+B13</f>
        <v>26</v>
      </c>
      <c r="C24" s="2">
        <f>Param!C51</f>
        <v>0.005</v>
      </c>
      <c r="D24" s="2">
        <f>B24*C24</f>
        <v>0.13</v>
      </c>
    </row>
    <row r="25" spans="1:5" ht="13.5" thickBot="1">
      <c r="A25" s="4" t="s">
        <v>16</v>
      </c>
      <c r="B25" s="123">
        <f>$G$5</f>
        <v>26</v>
      </c>
      <c r="C25" s="26">
        <f>Param!C54</f>
        <v>0.01</v>
      </c>
      <c r="D25" s="4">
        <f>B25*C25+Param!C52</f>
        <v>1.26</v>
      </c>
      <c r="E25" s="1"/>
    </row>
    <row r="26" spans="1:5" ht="12.75">
      <c r="A26" s="15" t="s">
        <v>91</v>
      </c>
      <c r="B26" s="16"/>
      <c r="C26" s="17"/>
      <c r="D26" s="15">
        <f>SUM(D22:D25)</f>
        <v>4.04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64.08615761316874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651.0288065843621</v>
      </c>
      <c r="C30" s="17">
        <f>Param!$C$58</f>
        <v>0.025</v>
      </c>
      <c r="D30" s="15">
        <f>B30*C30</f>
        <v>16.27572016460905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80.36187777777779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4.01809388888889</v>
      </c>
      <c r="D34" s="88">
        <f>B34+C34</f>
        <v>9.01809388888889</v>
      </c>
    </row>
    <row r="35" spans="1:4" ht="13.5" thickBot="1">
      <c r="A35" s="4" t="s">
        <v>98</v>
      </c>
      <c r="B35" s="4">
        <f>Param!B61</f>
        <v>0</v>
      </c>
      <c r="C35" s="4">
        <f>Param!C61*D32</f>
        <v>4.01809388888889</v>
      </c>
      <c r="D35" s="4">
        <f>B35+C35</f>
        <v>4.01809388888889</v>
      </c>
    </row>
    <row r="36" spans="1:5" ht="12.75">
      <c r="A36" s="15" t="s">
        <v>188</v>
      </c>
      <c r="B36" s="16"/>
      <c r="C36" s="17"/>
      <c r="D36" s="15">
        <f>SUM(D34:D35)</f>
        <v>13.03618777777778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93.39806555555558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5.2</v>
      </c>
      <c r="C40" s="2">
        <f>(Param!G49+Param!G50)</f>
        <v>7</v>
      </c>
      <c r="D40" s="84">
        <f>(B40+C40)*Param!H51</f>
        <v>0.854</v>
      </c>
    </row>
    <row r="41" spans="1:4" ht="12.75">
      <c r="A41" s="2" t="s">
        <v>8</v>
      </c>
      <c r="B41" s="14">
        <f>G5</f>
        <v>26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72178750</v>
      </c>
      <c r="C42" s="12">
        <f>Param!H38*Param!H39</f>
        <v>0.01125</v>
      </c>
      <c r="D42" s="84">
        <f>(B42*C42)/1000000</f>
        <v>0.8120109375</v>
      </c>
    </row>
    <row r="43" spans="1:4" ht="12.75">
      <c r="A43" s="2" t="s">
        <v>191</v>
      </c>
      <c r="B43" s="35">
        <f>G12</f>
        <v>72178750</v>
      </c>
      <c r="C43" s="12">
        <f>Param!H38*Param!H40</f>
        <v>0.0075</v>
      </c>
      <c r="D43" s="84">
        <f>(B43*C43)/1000000</f>
        <v>0.541340625</v>
      </c>
    </row>
    <row r="44" spans="1:5" ht="12.75">
      <c r="A44" s="2" t="s">
        <v>118</v>
      </c>
      <c r="B44" s="35">
        <f>G12</f>
        <v>72178750</v>
      </c>
      <c r="C44" s="86">
        <f>Param!G43</f>
        <v>0.001</v>
      </c>
      <c r="D44" s="84">
        <f>B44*C44/1000000</f>
        <v>0.07217875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1.6072375555555558</v>
      </c>
      <c r="D45" s="84">
        <f>B45*C45</f>
        <v>0.03214475111111112</v>
      </c>
    </row>
    <row r="46" spans="1:4" ht="12.75">
      <c r="A46" s="2" t="s">
        <v>195</v>
      </c>
      <c r="B46" s="2">
        <f>SUM(D22:D25)</f>
        <v>4.04</v>
      </c>
      <c r="C46" s="12">
        <f>Param!G45</f>
        <v>0.02</v>
      </c>
      <c r="D46" s="84">
        <f>B46*C46</f>
        <v>0.0808</v>
      </c>
    </row>
    <row r="47" spans="1:4" ht="13.5" thickBot="1">
      <c r="A47" s="4" t="s">
        <v>227</v>
      </c>
      <c r="B47" s="123">
        <f>B30</f>
        <v>651.0288065843621</v>
      </c>
      <c r="C47" s="26">
        <f>Param!H46</f>
        <v>0.0002</v>
      </c>
      <c r="D47" s="143">
        <f>B47*C47</f>
        <v>0.13020576131687242</v>
      </c>
    </row>
    <row r="48" spans="1:5" ht="12.75">
      <c r="A48" s="15" t="s">
        <v>23</v>
      </c>
      <c r="B48" s="17"/>
      <c r="C48" s="17"/>
      <c r="D48" s="15">
        <f>SUM(D39:D46)</f>
        <v>2.392475063611111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0.05286965643274855</v>
      </c>
      <c r="E50" s="10">
        <f t="shared" si="1"/>
        <v>0</v>
      </c>
      <c r="F50" s="44">
        <f>-D57*B57</f>
        <v>13.03618777777778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0.11865913011695908</v>
      </c>
      <c r="E51" s="10">
        <f t="shared" si="1"/>
        <v>0</v>
      </c>
      <c r="F51" s="44">
        <f>-D58*B58</f>
        <v>0.861579948777981</v>
      </c>
      <c r="G51" s="44">
        <f>F51</f>
        <v>0.861579948777981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0.8432389159627466</v>
      </c>
      <c r="E52" s="10">
        <f t="shared" si="1"/>
        <v>0</v>
      </c>
      <c r="F52" s="44">
        <f>-D59*B59</f>
        <v>8.923160651106583</v>
      </c>
      <c r="G52" s="2">
        <f>F52</f>
        <v>8.923160651106583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0.6259892371003482</v>
      </c>
      <c r="E53" s="10">
        <f t="shared" si="1"/>
        <v>0</v>
      </c>
      <c r="F53" s="44">
        <f>-D60*B60</f>
        <v>8.279008620235507</v>
      </c>
      <c r="G53" s="2">
        <f>F53*2</f>
        <v>16.558017240471013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0.5252</v>
      </c>
      <c r="E54" s="10">
        <f t="shared" si="1"/>
        <v>0</v>
      </c>
      <c r="F54" s="44">
        <f>-D61*B61</f>
        <v>2.9650567866090545</v>
      </c>
      <c r="G54" s="5">
        <f>F54*6</f>
        <v>17.790340719654328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1.9944281530630947</v>
      </c>
      <c r="E55" s="10">
        <f t="shared" si="1"/>
        <v>0</v>
      </c>
      <c r="F55" s="44">
        <f>SUM(F51:F54)</f>
        <v>21.028806006729127</v>
      </c>
      <c r="G55" s="1">
        <f>SUM(G51:G54)</f>
        <v>44.133098560009905</v>
      </c>
      <c r="H55" s="1">
        <f>I66*20</f>
        <v>98.69712833884276</v>
      </c>
      <c r="I55" s="1">
        <f>I75*10</f>
        <v>124.57325837321058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0.17152878654970763</v>
      </c>
      <c r="G57" s="2" t="s">
        <v>169</v>
      </c>
      <c r="H57" s="2" t="s">
        <v>170</v>
      </c>
    </row>
    <row r="58" spans="1:9" ht="12.75">
      <c r="A58" s="2" t="s">
        <v>278</v>
      </c>
      <c r="B58" s="14">
        <f>-Param!$G$55</f>
        <v>-76</v>
      </c>
      <c r="C58" s="10">
        <f>Param!$B$38</f>
        <v>0.05</v>
      </c>
      <c r="D58" s="2">
        <f>PMT(C57,B58,D34)</f>
        <v>0.011336578273394488</v>
      </c>
      <c r="E58" s="2">
        <f>D36</f>
        <v>13.03618777777778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0.11741000856719189</v>
      </c>
      <c r="E59" s="2">
        <f>D32</f>
        <v>80.36187777777779</v>
      </c>
      <c r="F59" s="164" t="s">
        <v>28</v>
      </c>
      <c r="G59" s="165">
        <f>$D$67</f>
        <v>2.3664750636111114</v>
      </c>
      <c r="H59" s="166">
        <f>$G$12</f>
        <v>72178750</v>
      </c>
      <c r="I59" s="167">
        <f>(G59/H59)*1000000</f>
        <v>0.03278631264203261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0.3184234084705964</v>
      </c>
      <c r="E60" s="2">
        <f>D30</f>
        <v>16.27572016460905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0.22808129127761959</v>
      </c>
      <c r="E61" s="5">
        <f>D26</f>
        <v>4.04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0.6639147083154079</v>
      </c>
      <c r="E62" s="30">
        <f>SUM(E58:E61)</f>
        <v>113.71378572016464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2.6583428613785025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3.335645198412699</v>
      </c>
    </row>
    <row r="65" spans="1:9" ht="12.75">
      <c r="A65" s="24" t="s">
        <v>291</v>
      </c>
      <c r="B65" s="30"/>
      <c r="C65" s="30"/>
      <c r="D65" s="85">
        <f>D48+D64</f>
        <v>5.050817924989614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1.5992112185294385</v>
      </c>
    </row>
    <row r="66" spans="1:9" ht="12.75">
      <c r="A66" s="24" t="s">
        <v>292</v>
      </c>
      <c r="B66" s="30"/>
      <c r="C66" s="30"/>
      <c r="D66" s="85">
        <f>D65-D80</f>
        <v>5.024817924989614</v>
      </c>
      <c r="F66" s="161" t="s">
        <v>212</v>
      </c>
      <c r="G66" s="100"/>
      <c r="H66" s="100"/>
      <c r="I66" s="162">
        <f>SUM(I64:I65)</f>
        <v>4.934856416942138</v>
      </c>
    </row>
    <row r="67" spans="1:9" ht="12.75">
      <c r="A67" s="24" t="s">
        <v>293</v>
      </c>
      <c r="B67" s="30"/>
      <c r="C67" s="30"/>
      <c r="D67" s="85">
        <f>D48-D80</f>
        <v>2.3664750636111114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7.301331480553249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7.301331480553249</v>
      </c>
      <c r="H69" s="166">
        <f>$G$12</f>
        <v>72178750</v>
      </c>
      <c r="I69" s="167">
        <f>(G69/H69)*1000000</f>
        <v>0.10115624724109587</v>
      </c>
    </row>
    <row r="70" spans="1:9" ht="13.5" thickBot="1">
      <c r="A70" s="24" t="s">
        <v>71</v>
      </c>
      <c r="B70" s="124">
        <f>G10</f>
        <v>10311250</v>
      </c>
      <c r="C70" s="125">
        <f>G16</f>
        <v>2.75</v>
      </c>
      <c r="D70" s="47">
        <f>B70*C70*Param!$B$32/1000000</f>
        <v>28.3559375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28.3559375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7.184466581196583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5.272859256124476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12.457325837321058</v>
      </c>
    </row>
    <row r="76" spans="1:9" ht="12.75">
      <c r="A76" s="3" t="s">
        <v>11</v>
      </c>
      <c r="B76" s="11">
        <f>$G$5</f>
        <v>26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26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14.82380090093217</v>
      </c>
    </row>
    <row r="78" spans="1:9" ht="13.5" thickBot="1">
      <c r="A78" s="36" t="s">
        <v>29</v>
      </c>
      <c r="B78" s="107">
        <f>B12+B13</f>
        <v>26</v>
      </c>
      <c r="C78" s="36">
        <f>Param!$G$33</f>
        <v>0.001</v>
      </c>
      <c r="D78" s="36">
        <f>B78*C78</f>
        <v>0.026000000000000002</v>
      </c>
      <c r="F78" s="164" t="s">
        <v>37</v>
      </c>
      <c r="G78" s="165">
        <f>I77</f>
        <v>14.82380090093217</v>
      </c>
      <c r="H78" s="166">
        <f>$G$12</f>
        <v>72178750</v>
      </c>
      <c r="I78" s="167">
        <f>(G78/H78)*1000000</f>
        <v>0.20537624856252248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0.026000000000000002</v>
      </c>
      <c r="E80" s="30"/>
    </row>
    <row r="81" spans="1:5" ht="12.75">
      <c r="A81" s="94" t="s">
        <v>35</v>
      </c>
      <c r="B81" s="94"/>
      <c r="C81" s="94"/>
      <c r="D81" s="93">
        <f>$D$72+$D$80</f>
        <v>28.3819375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2.392475063611111</v>
      </c>
    </row>
    <row r="84" spans="1:4" ht="16.5" thickBot="1">
      <c r="A84" s="54" t="s">
        <v>39</v>
      </c>
      <c r="B84" s="55"/>
      <c r="C84" s="55"/>
      <c r="D84" s="55">
        <f>D81-D83</f>
        <v>25.989462436388887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13.03618777777778</v>
      </c>
      <c r="C89" s="59">
        <v>0</v>
      </c>
      <c r="D89" s="59"/>
      <c r="E89" s="63">
        <f>+B89*-1</f>
        <v>-13.03618777777778</v>
      </c>
      <c r="F89" s="64">
        <f>IRR(E89:E101,0.1)</f>
        <v>0.16216223689767165</v>
      </c>
      <c r="G89" s="81">
        <f>NPV(Param!$B$38,E89:E101)</f>
        <v>69.05859554589482</v>
      </c>
    </row>
    <row r="90" spans="1:7" ht="12.75">
      <c r="A90" s="59">
        <v>2</v>
      </c>
      <c r="B90" s="62">
        <f>0.4*D32</f>
        <v>32.14475111111112</v>
      </c>
      <c r="C90" s="59">
        <v>0</v>
      </c>
      <c r="D90" s="59"/>
      <c r="E90" s="63">
        <f>+B90*-1</f>
        <v>-32.14475111111112</v>
      </c>
      <c r="F90" s="65"/>
      <c r="G90" s="65"/>
    </row>
    <row r="91" spans="1:7" ht="12.75">
      <c r="A91" s="59">
        <v>3</v>
      </c>
      <c r="B91" s="62">
        <f>0.6*D32</f>
        <v>48.21712666666667</v>
      </c>
      <c r="C91" s="59">
        <v>0</v>
      </c>
      <c r="D91" s="59"/>
      <c r="E91" s="63">
        <f>+B91*-1</f>
        <v>-48.21712666666667</v>
      </c>
      <c r="F91" s="66"/>
      <c r="G91" s="65"/>
    </row>
    <row r="92" spans="1:7" ht="12.75">
      <c r="A92" s="59">
        <v>4</v>
      </c>
      <c r="B92" s="59"/>
      <c r="C92" s="67">
        <f>$D$84*0.3</f>
        <v>7.796838730916666</v>
      </c>
      <c r="D92" s="59"/>
      <c r="E92" s="63">
        <f aca="true" t="shared" si="2" ref="E92:E101">C92</f>
        <v>7.796838730916666</v>
      </c>
      <c r="F92" s="65"/>
      <c r="G92" s="65"/>
    </row>
    <row r="93" spans="1:7" ht="12.75">
      <c r="A93" s="59">
        <v>5</v>
      </c>
      <c r="B93" s="59"/>
      <c r="C93" s="67">
        <f>$D$84*0.7</f>
        <v>18.19262370547222</v>
      </c>
      <c r="D93" s="59"/>
      <c r="E93" s="63">
        <f t="shared" si="2"/>
        <v>18.19262370547222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25.989462436388887</v>
      </c>
      <c r="D94" s="59"/>
      <c r="E94" s="63">
        <f t="shared" si="2"/>
        <v>25.989462436388887</v>
      </c>
      <c r="F94" s="66"/>
      <c r="G94" s="65"/>
    </row>
    <row r="95" spans="1:7" ht="12.75">
      <c r="A95" s="59">
        <v>7</v>
      </c>
      <c r="B95" s="59"/>
      <c r="C95" s="67">
        <f t="shared" si="3"/>
        <v>25.989462436388887</v>
      </c>
      <c r="D95" s="59"/>
      <c r="E95" s="63">
        <f t="shared" si="2"/>
        <v>25.989462436388887</v>
      </c>
      <c r="F95" s="66"/>
      <c r="G95" s="65"/>
    </row>
    <row r="96" spans="1:7" ht="12.75">
      <c r="A96" s="59">
        <v>8</v>
      </c>
      <c r="B96" s="59"/>
      <c r="C96" s="67">
        <f t="shared" si="3"/>
        <v>25.989462436388887</v>
      </c>
      <c r="D96" s="59"/>
      <c r="E96" s="63">
        <f t="shared" si="2"/>
        <v>25.989462436388887</v>
      </c>
      <c r="F96" s="66"/>
      <c r="G96" s="65"/>
    </row>
    <row r="97" spans="1:7" ht="12.75">
      <c r="A97" s="59">
        <v>9</v>
      </c>
      <c r="B97" s="59"/>
      <c r="C97" s="67">
        <f t="shared" si="3"/>
        <v>25.989462436388887</v>
      </c>
      <c r="D97" s="59"/>
      <c r="E97" s="63">
        <f t="shared" si="2"/>
        <v>25.989462436388887</v>
      </c>
      <c r="F97" s="66"/>
      <c r="G97" s="65"/>
    </row>
    <row r="98" spans="1:7" ht="12.75">
      <c r="A98" s="59">
        <v>10</v>
      </c>
      <c r="B98" s="59"/>
      <c r="C98" s="67">
        <f t="shared" si="3"/>
        <v>25.989462436388887</v>
      </c>
      <c r="D98" s="59"/>
      <c r="E98" s="63">
        <f t="shared" si="2"/>
        <v>25.989462436388887</v>
      </c>
      <c r="F98" s="66"/>
      <c r="G98" s="65"/>
    </row>
    <row r="99" spans="1:7" ht="12.75">
      <c r="A99" s="59">
        <v>11</v>
      </c>
      <c r="B99" s="59"/>
      <c r="C99" s="67">
        <f t="shared" si="3"/>
        <v>25.989462436388887</v>
      </c>
      <c r="D99" s="59"/>
      <c r="E99" s="63">
        <f t="shared" si="2"/>
        <v>25.989462436388887</v>
      </c>
      <c r="F99" s="66"/>
      <c r="G99" s="65"/>
    </row>
    <row r="100" spans="1:7" ht="12.75">
      <c r="A100" s="59">
        <v>12</v>
      </c>
      <c r="B100" s="59"/>
      <c r="C100" s="67">
        <f t="shared" si="3"/>
        <v>25.989462436388887</v>
      </c>
      <c r="D100" s="59"/>
      <c r="E100" s="63">
        <f t="shared" si="2"/>
        <v>25.989462436388887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25.989462436388887</v>
      </c>
      <c r="D101" s="138"/>
      <c r="E101" s="140">
        <f t="shared" si="2"/>
        <v>25.989462436388887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28.3819375</v>
      </c>
    </row>
    <row r="104" spans="1:4" ht="12.75">
      <c r="A104" s="53" t="s">
        <v>290</v>
      </c>
      <c r="B104" s="53"/>
      <c r="C104" s="53"/>
      <c r="D104" s="53">
        <f>$D$48</f>
        <v>2.392475063611111</v>
      </c>
    </row>
    <row r="105" spans="1:4" ht="16.5" thickBot="1">
      <c r="A105" s="54" t="s">
        <v>197</v>
      </c>
      <c r="B105" s="55"/>
      <c r="C105" s="55"/>
      <c r="D105" s="55">
        <f>D103-D104</f>
        <v>25.989462436388887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13.03618777777778</v>
      </c>
      <c r="C109" s="59">
        <v>0</v>
      </c>
      <c r="D109" s="59"/>
      <c r="E109" s="63">
        <f>+B109*-1</f>
        <v>-13.03618777777778</v>
      </c>
      <c r="F109" s="64">
        <f>IRR(E109:E136,0.1)</f>
        <v>0.20378740028954717</v>
      </c>
      <c r="G109" s="81">
        <f>NPV(Param!$B$38,E109:E136)</f>
        <v>212.11900197627307</v>
      </c>
    </row>
    <row r="110" spans="1:7" ht="12.75">
      <c r="A110" s="59">
        <v>2</v>
      </c>
      <c r="B110" s="62">
        <f>0.4*D32</f>
        <v>32.14475111111112</v>
      </c>
      <c r="C110" s="59">
        <v>0</v>
      </c>
      <c r="D110" s="59"/>
      <c r="E110" s="63">
        <f>+B110*-1</f>
        <v>-32.14475111111112</v>
      </c>
      <c r="F110" s="65"/>
      <c r="G110" s="65"/>
    </row>
    <row r="111" spans="1:7" ht="12.75">
      <c r="A111" s="59">
        <v>3</v>
      </c>
      <c r="B111" s="62">
        <f>0.6*D32</f>
        <v>48.21712666666667</v>
      </c>
      <c r="C111" s="59">
        <v>0</v>
      </c>
      <c r="D111" s="59"/>
      <c r="E111" s="63">
        <f>+B111*-1</f>
        <v>-48.21712666666667</v>
      </c>
      <c r="F111" s="66"/>
      <c r="G111" s="65"/>
    </row>
    <row r="112" spans="1:7" ht="12.75">
      <c r="A112" s="59">
        <v>4</v>
      </c>
      <c r="B112" s="59"/>
      <c r="C112" s="67">
        <f>$D$105*0.3</f>
        <v>7.796838730916666</v>
      </c>
      <c r="D112" s="59"/>
      <c r="E112" s="63">
        <f>C112</f>
        <v>7.796838730916666</v>
      </c>
      <c r="F112" s="65"/>
      <c r="G112" s="65"/>
    </row>
    <row r="113" spans="1:7" ht="12.75">
      <c r="A113" s="59">
        <v>5</v>
      </c>
      <c r="B113" s="59"/>
      <c r="C113" s="67">
        <f>$D$105*0.7</f>
        <v>18.19262370547222</v>
      </c>
      <c r="D113" s="59"/>
      <c r="E113" s="63">
        <f aca="true" t="shared" si="4" ref="E113:E136">C113</f>
        <v>18.19262370547222</v>
      </c>
      <c r="F113" s="66"/>
      <c r="G113" s="65"/>
    </row>
    <row r="114" spans="1:7" ht="12.75">
      <c r="A114" s="59">
        <v>6</v>
      </c>
      <c r="B114" s="59"/>
      <c r="C114" s="67">
        <f>$D$105</f>
        <v>25.989462436388887</v>
      </c>
      <c r="D114" s="59"/>
      <c r="E114" s="63">
        <f t="shared" si="4"/>
        <v>25.989462436388887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25.989462436388887</v>
      </c>
      <c r="D115" s="59"/>
      <c r="E115" s="63">
        <f t="shared" si="4"/>
        <v>25.989462436388887</v>
      </c>
      <c r="F115" s="66"/>
      <c r="G115" s="65"/>
    </row>
    <row r="116" spans="1:7" ht="12.75">
      <c r="A116" s="59">
        <v>8</v>
      </c>
      <c r="B116" s="59"/>
      <c r="C116" s="67">
        <f t="shared" si="5"/>
        <v>25.989462436388887</v>
      </c>
      <c r="D116" s="59"/>
      <c r="E116" s="63">
        <f t="shared" si="4"/>
        <v>25.989462436388887</v>
      </c>
      <c r="F116" s="66"/>
      <c r="G116" s="65"/>
    </row>
    <row r="117" spans="1:7" ht="12.75">
      <c r="A117" s="59">
        <v>9</v>
      </c>
      <c r="B117" s="59"/>
      <c r="C117" s="67">
        <f t="shared" si="5"/>
        <v>25.989462436388887</v>
      </c>
      <c r="D117" s="59"/>
      <c r="E117" s="63">
        <f t="shared" si="4"/>
        <v>25.989462436388887</v>
      </c>
      <c r="F117" s="66"/>
      <c r="G117" s="65"/>
    </row>
    <row r="118" spans="1:7" ht="12.75">
      <c r="A118" s="59">
        <v>10</v>
      </c>
      <c r="B118" s="59"/>
      <c r="C118" s="67">
        <f t="shared" si="5"/>
        <v>25.989462436388887</v>
      </c>
      <c r="D118" s="59"/>
      <c r="E118" s="63">
        <f t="shared" si="4"/>
        <v>25.989462436388887</v>
      </c>
      <c r="F118" s="66"/>
      <c r="G118" s="65"/>
    </row>
    <row r="119" spans="1:7" ht="12.75">
      <c r="A119" s="59">
        <v>11</v>
      </c>
      <c r="B119" s="59"/>
      <c r="C119" s="67">
        <f t="shared" si="5"/>
        <v>25.989462436388887</v>
      </c>
      <c r="D119" s="59"/>
      <c r="E119" s="63">
        <f t="shared" si="4"/>
        <v>25.989462436388887</v>
      </c>
      <c r="F119" s="66"/>
      <c r="G119" s="65"/>
    </row>
    <row r="120" spans="1:7" ht="12.75">
      <c r="A120" s="59">
        <v>12</v>
      </c>
      <c r="B120" s="59"/>
      <c r="C120" s="67">
        <f t="shared" si="5"/>
        <v>25.989462436388887</v>
      </c>
      <c r="D120" s="59"/>
      <c r="E120" s="63">
        <f t="shared" si="4"/>
        <v>25.989462436388887</v>
      </c>
      <c r="F120" s="66"/>
      <c r="G120" s="65"/>
    </row>
    <row r="121" spans="1:7" ht="12.75">
      <c r="A121" s="59">
        <v>13</v>
      </c>
      <c r="B121" s="59"/>
      <c r="C121" s="67">
        <f t="shared" si="5"/>
        <v>25.989462436388887</v>
      </c>
      <c r="D121" s="59"/>
      <c r="E121" s="63">
        <f t="shared" si="4"/>
        <v>25.989462436388887</v>
      </c>
      <c r="F121" s="66"/>
      <c r="G121" s="65"/>
    </row>
    <row r="122" spans="1:7" ht="12.75">
      <c r="A122" s="59">
        <v>14</v>
      </c>
      <c r="B122" s="59"/>
      <c r="C122" s="67">
        <f t="shared" si="5"/>
        <v>25.989462436388887</v>
      </c>
      <c r="D122" s="59"/>
      <c r="E122" s="63">
        <f t="shared" si="4"/>
        <v>25.989462436388887</v>
      </c>
      <c r="F122" s="66"/>
      <c r="G122" s="65"/>
    </row>
    <row r="123" spans="1:7" ht="12.75">
      <c r="A123" s="59">
        <v>15</v>
      </c>
      <c r="B123" s="59"/>
      <c r="C123" s="67">
        <f t="shared" si="5"/>
        <v>25.989462436388887</v>
      </c>
      <c r="D123" s="59"/>
      <c r="E123" s="63">
        <f t="shared" si="4"/>
        <v>25.989462436388887</v>
      </c>
      <c r="F123" s="66"/>
      <c r="G123" s="65"/>
    </row>
    <row r="124" spans="1:7" ht="12.75">
      <c r="A124" s="59">
        <v>16</v>
      </c>
      <c r="B124" s="59"/>
      <c r="C124" s="67">
        <f t="shared" si="5"/>
        <v>25.989462436388887</v>
      </c>
      <c r="D124" s="59"/>
      <c r="E124" s="63">
        <f t="shared" si="4"/>
        <v>25.989462436388887</v>
      </c>
      <c r="F124" s="66"/>
      <c r="G124" s="65"/>
    </row>
    <row r="125" spans="1:7" ht="12.75">
      <c r="A125" s="59">
        <v>17</v>
      </c>
      <c r="B125" s="59"/>
      <c r="C125" s="67">
        <f t="shared" si="5"/>
        <v>25.989462436388887</v>
      </c>
      <c r="D125" s="59"/>
      <c r="E125" s="63">
        <f t="shared" si="4"/>
        <v>25.989462436388887</v>
      </c>
      <c r="F125" s="66"/>
      <c r="G125" s="65"/>
    </row>
    <row r="126" spans="1:7" ht="12.75">
      <c r="A126" s="59">
        <v>18</v>
      </c>
      <c r="B126" s="59"/>
      <c r="C126" s="67">
        <f t="shared" si="5"/>
        <v>25.989462436388887</v>
      </c>
      <c r="D126" s="59"/>
      <c r="E126" s="63">
        <f t="shared" si="4"/>
        <v>25.989462436388887</v>
      </c>
      <c r="F126" s="66"/>
      <c r="G126" s="65"/>
    </row>
    <row r="127" spans="1:7" ht="12.75">
      <c r="A127" s="59">
        <v>19</v>
      </c>
      <c r="B127" s="59"/>
      <c r="C127" s="67">
        <f t="shared" si="5"/>
        <v>25.989462436388887</v>
      </c>
      <c r="D127" s="59"/>
      <c r="E127" s="63">
        <f t="shared" si="4"/>
        <v>25.989462436388887</v>
      </c>
      <c r="F127" s="66"/>
      <c r="G127" s="65"/>
    </row>
    <row r="128" spans="1:7" ht="12.75">
      <c r="A128" s="59">
        <v>20</v>
      </c>
      <c r="B128" s="59"/>
      <c r="C128" s="67">
        <f t="shared" si="5"/>
        <v>25.989462436388887</v>
      </c>
      <c r="D128" s="59"/>
      <c r="E128" s="63">
        <f t="shared" si="4"/>
        <v>25.989462436388887</v>
      </c>
      <c r="F128" s="66"/>
      <c r="G128" s="65"/>
    </row>
    <row r="129" spans="1:7" ht="12.75">
      <c r="A129" s="59">
        <v>21</v>
      </c>
      <c r="B129" s="59"/>
      <c r="C129" s="67">
        <f t="shared" si="5"/>
        <v>25.989462436388887</v>
      </c>
      <c r="D129" s="59"/>
      <c r="E129" s="63">
        <f t="shared" si="4"/>
        <v>25.989462436388887</v>
      </c>
      <c r="F129" s="66"/>
      <c r="G129" s="65"/>
    </row>
    <row r="130" spans="1:7" ht="12.75">
      <c r="A130" s="59">
        <v>22</v>
      </c>
      <c r="B130" s="59"/>
      <c r="C130" s="67">
        <f t="shared" si="5"/>
        <v>25.989462436388887</v>
      </c>
      <c r="D130" s="59"/>
      <c r="E130" s="63">
        <f t="shared" si="4"/>
        <v>25.989462436388887</v>
      </c>
      <c r="F130" s="66"/>
      <c r="G130" s="65"/>
    </row>
    <row r="131" spans="1:7" ht="12.75">
      <c r="A131" s="59">
        <v>23</v>
      </c>
      <c r="B131" s="59"/>
      <c r="C131" s="67">
        <f t="shared" si="5"/>
        <v>25.989462436388887</v>
      </c>
      <c r="D131" s="59"/>
      <c r="E131" s="63">
        <f t="shared" si="4"/>
        <v>25.989462436388887</v>
      </c>
      <c r="F131" s="66"/>
      <c r="G131" s="65"/>
    </row>
    <row r="132" spans="1:7" ht="12.75">
      <c r="A132" s="59">
        <v>24</v>
      </c>
      <c r="B132" s="59"/>
      <c r="C132" s="67">
        <f t="shared" si="5"/>
        <v>25.989462436388887</v>
      </c>
      <c r="D132" s="59"/>
      <c r="E132" s="63">
        <f t="shared" si="4"/>
        <v>25.989462436388887</v>
      </c>
      <c r="F132" s="66"/>
      <c r="G132" s="65"/>
    </row>
    <row r="133" spans="1:7" ht="12.75">
      <c r="A133" s="59">
        <v>25</v>
      </c>
      <c r="B133" s="59"/>
      <c r="C133" s="67">
        <f t="shared" si="5"/>
        <v>25.989462436388887</v>
      </c>
      <c r="D133" s="59"/>
      <c r="E133" s="63">
        <f t="shared" si="4"/>
        <v>25.989462436388887</v>
      </c>
      <c r="F133" s="66"/>
      <c r="G133" s="65"/>
    </row>
    <row r="134" spans="1:7" ht="12.75">
      <c r="A134" s="59">
        <v>26</v>
      </c>
      <c r="B134" s="59"/>
      <c r="C134" s="67">
        <f t="shared" si="5"/>
        <v>25.989462436388887</v>
      </c>
      <c r="D134" s="59"/>
      <c r="E134" s="63">
        <f t="shared" si="4"/>
        <v>25.989462436388887</v>
      </c>
      <c r="F134" s="66"/>
      <c r="G134" s="65"/>
    </row>
    <row r="135" spans="1:7" ht="12.75">
      <c r="A135" s="59">
        <v>27</v>
      </c>
      <c r="B135" s="59"/>
      <c r="C135" s="67">
        <f t="shared" si="5"/>
        <v>25.989462436388887</v>
      </c>
      <c r="D135" s="59"/>
      <c r="E135" s="63">
        <f t="shared" si="4"/>
        <v>25.989462436388887</v>
      </c>
      <c r="F135" s="66"/>
      <c r="G135" s="65"/>
    </row>
    <row r="136" spans="1:7" ht="13.5" thickBot="1">
      <c r="A136" s="138">
        <v>28</v>
      </c>
      <c r="B136" s="138"/>
      <c r="C136" s="139">
        <f>$D$84</f>
        <v>25.989462436388887</v>
      </c>
      <c r="D136" s="138"/>
      <c r="E136" s="140">
        <f t="shared" si="4"/>
        <v>25.989462436388887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28.3819375</v>
      </c>
    </row>
    <row r="139" spans="1:4" ht="12.75">
      <c r="A139" s="53" t="s">
        <v>48</v>
      </c>
      <c r="B139" s="53"/>
      <c r="C139" s="53"/>
      <c r="D139" s="53">
        <f>$D$48</f>
        <v>2.392475063611111</v>
      </c>
    </row>
    <row r="140" spans="1:4" ht="16.5" thickBot="1">
      <c r="A140" s="54" t="s">
        <v>196</v>
      </c>
      <c r="B140" s="55"/>
      <c r="C140" s="55"/>
      <c r="D140" s="55">
        <f>D138-D139</f>
        <v>25.989462436388887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13.03618777777778</v>
      </c>
      <c r="C144" s="59">
        <v>0</v>
      </c>
      <c r="D144" s="59"/>
      <c r="E144" s="63">
        <f>+B144*-1</f>
        <v>-13.03618777777778</v>
      </c>
      <c r="F144" s="64">
        <f>IRR(E144:E221,0.1)</f>
        <v>0.20565303901070597</v>
      </c>
      <c r="G144" s="81">
        <f>NPV(Param!$B$38,E144:E221)</f>
        <v>333.1511599079616</v>
      </c>
    </row>
    <row r="145" spans="1:7" ht="12.75">
      <c r="A145" s="59">
        <v>2</v>
      </c>
      <c r="B145" s="62">
        <f>0.4*D32</f>
        <v>32.14475111111112</v>
      </c>
      <c r="C145" s="59">
        <v>0</v>
      </c>
      <c r="D145" s="59"/>
      <c r="E145" s="63">
        <f>+B145*-1</f>
        <v>-32.14475111111112</v>
      </c>
      <c r="F145" s="65"/>
      <c r="G145" s="65"/>
    </row>
    <row r="146" spans="1:7" ht="12.75">
      <c r="A146" s="59">
        <v>3</v>
      </c>
      <c r="B146" s="62">
        <f>0.6*D32</f>
        <v>48.21712666666667</v>
      </c>
      <c r="C146" s="59">
        <v>0</v>
      </c>
      <c r="D146" s="59"/>
      <c r="E146" s="63">
        <f>+B146*-1</f>
        <v>-48.21712666666667</v>
      </c>
      <c r="F146" s="66"/>
      <c r="G146" s="65"/>
    </row>
    <row r="147" spans="1:7" ht="12.75">
      <c r="A147" s="59">
        <v>4</v>
      </c>
      <c r="B147" s="59"/>
      <c r="C147" s="67">
        <f>$D$140*0.3</f>
        <v>7.796838730916666</v>
      </c>
      <c r="D147" s="59"/>
      <c r="E147" s="63">
        <f>C147</f>
        <v>7.796838730916666</v>
      </c>
      <c r="F147" s="65"/>
      <c r="G147" s="65"/>
    </row>
    <row r="148" spans="1:7" ht="12.75">
      <c r="A148" s="59">
        <v>5</v>
      </c>
      <c r="B148" s="59"/>
      <c r="C148" s="67">
        <f>$D$140*0.7</f>
        <v>18.19262370547222</v>
      </c>
      <c r="D148" s="59"/>
      <c r="E148" s="63">
        <f aca="true" t="shared" si="6" ref="E148:E211">C148</f>
        <v>18.19262370547222</v>
      </c>
      <c r="F148" s="66"/>
      <c r="G148" s="65"/>
    </row>
    <row r="149" spans="1:7" ht="12.75">
      <c r="A149" s="59">
        <v>6</v>
      </c>
      <c r="B149" s="59"/>
      <c r="C149" s="67">
        <f>$D$140</f>
        <v>25.989462436388887</v>
      </c>
      <c r="D149" s="59"/>
      <c r="E149" s="63">
        <f t="shared" si="6"/>
        <v>25.989462436388887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25.989462436388887</v>
      </c>
      <c r="D150" s="59"/>
      <c r="E150" s="63">
        <f t="shared" si="6"/>
        <v>25.989462436388887</v>
      </c>
      <c r="F150" s="66"/>
      <c r="G150" s="65"/>
    </row>
    <row r="151" spans="1:7" ht="12.75">
      <c r="A151" s="59">
        <v>8</v>
      </c>
      <c r="B151" s="59"/>
      <c r="C151" s="67">
        <f t="shared" si="7"/>
        <v>25.989462436388887</v>
      </c>
      <c r="D151" s="59"/>
      <c r="E151" s="63">
        <f t="shared" si="6"/>
        <v>25.989462436388887</v>
      </c>
      <c r="F151" s="66"/>
      <c r="G151" s="65"/>
    </row>
    <row r="152" spans="1:7" ht="12.75">
      <c r="A152" s="59">
        <v>9</v>
      </c>
      <c r="B152" s="59"/>
      <c r="C152" s="67">
        <f t="shared" si="7"/>
        <v>25.989462436388887</v>
      </c>
      <c r="D152" s="59"/>
      <c r="E152" s="63">
        <f t="shared" si="6"/>
        <v>25.989462436388887</v>
      </c>
      <c r="F152" s="66"/>
      <c r="G152" s="65"/>
    </row>
    <row r="153" spans="1:7" ht="12.75">
      <c r="A153" s="59">
        <v>10</v>
      </c>
      <c r="B153" s="59"/>
      <c r="C153" s="67">
        <f t="shared" si="7"/>
        <v>25.989462436388887</v>
      </c>
      <c r="D153" s="59"/>
      <c r="E153" s="63">
        <f t="shared" si="6"/>
        <v>25.989462436388887</v>
      </c>
      <c r="F153" s="66"/>
      <c r="G153" s="65"/>
    </row>
    <row r="154" spans="1:7" ht="12.75">
      <c r="A154" s="59">
        <v>11</v>
      </c>
      <c r="C154" s="67">
        <f t="shared" si="7"/>
        <v>25.989462436388887</v>
      </c>
      <c r="E154" s="63">
        <f t="shared" si="6"/>
        <v>25.989462436388887</v>
      </c>
      <c r="F154" s="66"/>
      <c r="G154" s="65"/>
    </row>
    <row r="155" spans="1:7" ht="12.75">
      <c r="A155" s="59">
        <v>12</v>
      </c>
      <c r="C155" s="67">
        <f t="shared" si="7"/>
        <v>25.989462436388887</v>
      </c>
      <c r="E155" s="63">
        <f t="shared" si="6"/>
        <v>25.989462436388887</v>
      </c>
      <c r="F155" s="66"/>
      <c r="G155" s="65"/>
    </row>
    <row r="156" spans="1:7" ht="12.75">
      <c r="A156" s="59">
        <v>13</v>
      </c>
      <c r="C156" s="67">
        <f t="shared" si="7"/>
        <v>25.989462436388887</v>
      </c>
      <c r="E156" s="63">
        <f t="shared" si="6"/>
        <v>25.989462436388887</v>
      </c>
      <c r="F156" s="66"/>
      <c r="G156" s="65"/>
    </row>
    <row r="157" spans="1:7" ht="12.75">
      <c r="A157" s="59">
        <v>14</v>
      </c>
      <c r="C157" s="67">
        <f t="shared" si="7"/>
        <v>25.989462436388887</v>
      </c>
      <c r="E157" s="63">
        <f t="shared" si="6"/>
        <v>25.989462436388887</v>
      </c>
      <c r="F157" s="66"/>
      <c r="G157" s="65"/>
    </row>
    <row r="158" spans="1:7" ht="12.75">
      <c r="A158" s="59">
        <v>15</v>
      </c>
      <c r="C158" s="67">
        <f t="shared" si="7"/>
        <v>25.989462436388887</v>
      </c>
      <c r="E158" s="63">
        <f t="shared" si="6"/>
        <v>25.989462436388887</v>
      </c>
      <c r="F158" s="66"/>
      <c r="G158" s="65"/>
    </row>
    <row r="159" spans="1:7" ht="12.75">
      <c r="A159" s="59">
        <v>16</v>
      </c>
      <c r="C159" s="67">
        <f t="shared" si="7"/>
        <v>25.989462436388887</v>
      </c>
      <c r="E159" s="63">
        <f t="shared" si="6"/>
        <v>25.989462436388887</v>
      </c>
      <c r="F159" s="66"/>
      <c r="G159" s="65"/>
    </row>
    <row r="160" spans="1:7" ht="12.75">
      <c r="A160" s="59">
        <v>17</v>
      </c>
      <c r="C160" s="67">
        <f t="shared" si="7"/>
        <v>25.989462436388887</v>
      </c>
      <c r="E160" s="63">
        <f t="shared" si="6"/>
        <v>25.989462436388887</v>
      </c>
      <c r="F160" s="66"/>
      <c r="G160" s="65"/>
    </row>
    <row r="161" spans="1:7" ht="12.75">
      <c r="A161" s="59">
        <v>18</v>
      </c>
      <c r="C161" s="67">
        <f t="shared" si="7"/>
        <v>25.989462436388887</v>
      </c>
      <c r="E161" s="63">
        <f t="shared" si="6"/>
        <v>25.989462436388887</v>
      </c>
      <c r="F161" s="66"/>
      <c r="G161" s="65"/>
    </row>
    <row r="162" spans="1:7" ht="12.75">
      <c r="A162" s="59">
        <v>19</v>
      </c>
      <c r="C162" s="67">
        <f t="shared" si="7"/>
        <v>25.989462436388887</v>
      </c>
      <c r="E162" s="63">
        <f t="shared" si="6"/>
        <v>25.989462436388887</v>
      </c>
      <c r="F162" s="66"/>
      <c r="G162" s="65"/>
    </row>
    <row r="163" spans="1:7" ht="12.75">
      <c r="A163" s="59">
        <v>20</v>
      </c>
      <c r="C163" s="67">
        <f t="shared" si="7"/>
        <v>25.989462436388887</v>
      </c>
      <c r="E163" s="63">
        <f t="shared" si="6"/>
        <v>25.989462436388887</v>
      </c>
      <c r="F163" s="66"/>
      <c r="G163" s="65"/>
    </row>
    <row r="164" spans="1:7" ht="12.75">
      <c r="A164" s="59">
        <v>21</v>
      </c>
      <c r="C164" s="67">
        <f t="shared" si="7"/>
        <v>25.989462436388887</v>
      </c>
      <c r="E164" s="63">
        <f t="shared" si="6"/>
        <v>25.989462436388887</v>
      </c>
      <c r="F164" s="66"/>
      <c r="G164" s="65"/>
    </row>
    <row r="165" spans="1:7" ht="12.75">
      <c r="A165" s="59">
        <v>22</v>
      </c>
      <c r="C165" s="67">
        <f t="shared" si="7"/>
        <v>25.989462436388887</v>
      </c>
      <c r="E165" s="63">
        <f t="shared" si="6"/>
        <v>25.989462436388887</v>
      </c>
      <c r="F165" s="66"/>
      <c r="G165" s="65"/>
    </row>
    <row r="166" spans="1:7" ht="12.75">
      <c r="A166" s="59">
        <v>23</v>
      </c>
      <c r="C166" s="67">
        <f t="shared" si="7"/>
        <v>25.989462436388887</v>
      </c>
      <c r="E166" s="63">
        <f t="shared" si="6"/>
        <v>25.989462436388887</v>
      </c>
      <c r="F166" s="66"/>
      <c r="G166" s="65"/>
    </row>
    <row r="167" spans="1:7" ht="12.75">
      <c r="A167" s="59">
        <v>24</v>
      </c>
      <c r="C167" s="67">
        <f t="shared" si="7"/>
        <v>25.989462436388887</v>
      </c>
      <c r="E167" s="63">
        <f t="shared" si="6"/>
        <v>25.989462436388887</v>
      </c>
      <c r="F167" s="66"/>
      <c r="G167" s="65"/>
    </row>
    <row r="168" spans="1:7" ht="12.75">
      <c r="A168" s="59">
        <v>25</v>
      </c>
      <c r="C168" s="67">
        <f t="shared" si="7"/>
        <v>25.989462436388887</v>
      </c>
      <c r="E168" s="63">
        <f t="shared" si="6"/>
        <v>25.989462436388887</v>
      </c>
      <c r="F168" s="66"/>
      <c r="G168" s="65"/>
    </row>
    <row r="169" spans="1:7" ht="12.75">
      <c r="A169" s="59">
        <v>26</v>
      </c>
      <c r="C169" s="67">
        <f t="shared" si="7"/>
        <v>25.989462436388887</v>
      </c>
      <c r="E169" s="63">
        <f t="shared" si="6"/>
        <v>25.989462436388887</v>
      </c>
      <c r="F169" s="66"/>
      <c r="G169" s="65"/>
    </row>
    <row r="170" spans="1:7" ht="12.75">
      <c r="A170" s="59">
        <v>27</v>
      </c>
      <c r="C170" s="67">
        <f t="shared" si="7"/>
        <v>25.989462436388887</v>
      </c>
      <c r="E170" s="63">
        <f t="shared" si="6"/>
        <v>25.989462436388887</v>
      </c>
      <c r="F170" s="66"/>
      <c r="G170" s="65"/>
    </row>
    <row r="171" spans="1:7" ht="12.75">
      <c r="A171" s="59">
        <v>28</v>
      </c>
      <c r="C171" s="67">
        <f t="shared" si="7"/>
        <v>25.989462436388887</v>
      </c>
      <c r="E171" s="63">
        <f t="shared" si="6"/>
        <v>25.989462436388887</v>
      </c>
      <c r="F171" s="66"/>
      <c r="G171" s="65"/>
    </row>
    <row r="172" spans="1:7" ht="12.75">
      <c r="A172" s="59">
        <v>29</v>
      </c>
      <c r="C172" s="67">
        <f t="shared" si="7"/>
        <v>25.989462436388887</v>
      </c>
      <c r="E172" s="63">
        <f t="shared" si="6"/>
        <v>25.989462436388887</v>
      </c>
      <c r="F172" s="66"/>
      <c r="G172" s="65"/>
    </row>
    <row r="173" spans="1:7" ht="12.75">
      <c r="A173" s="59">
        <v>30</v>
      </c>
      <c r="C173" s="67">
        <f t="shared" si="7"/>
        <v>25.989462436388887</v>
      </c>
      <c r="E173" s="63">
        <f t="shared" si="6"/>
        <v>25.989462436388887</v>
      </c>
      <c r="F173" s="66"/>
      <c r="G173" s="65"/>
    </row>
    <row r="174" spans="1:7" ht="12.75">
      <c r="A174" s="59">
        <v>31</v>
      </c>
      <c r="C174" s="67">
        <f t="shared" si="7"/>
        <v>25.989462436388887</v>
      </c>
      <c r="E174" s="63">
        <f t="shared" si="6"/>
        <v>25.989462436388887</v>
      </c>
      <c r="F174" s="66"/>
      <c r="G174" s="65"/>
    </row>
    <row r="175" spans="1:7" ht="12.75">
      <c r="A175" s="59">
        <v>32</v>
      </c>
      <c r="C175" s="67">
        <f t="shared" si="7"/>
        <v>25.989462436388887</v>
      </c>
      <c r="E175" s="63">
        <f t="shared" si="6"/>
        <v>25.989462436388887</v>
      </c>
      <c r="F175" s="66"/>
      <c r="G175" s="65"/>
    </row>
    <row r="176" spans="1:7" ht="12.75">
      <c r="A176" s="59">
        <v>33</v>
      </c>
      <c r="C176" s="67">
        <f t="shared" si="7"/>
        <v>25.989462436388887</v>
      </c>
      <c r="E176" s="63">
        <f t="shared" si="6"/>
        <v>25.989462436388887</v>
      </c>
      <c r="F176" s="66"/>
      <c r="G176" s="65"/>
    </row>
    <row r="177" spans="1:7" ht="12.75">
      <c r="A177" s="59">
        <v>34</v>
      </c>
      <c r="C177" s="67">
        <f t="shared" si="7"/>
        <v>25.989462436388887</v>
      </c>
      <c r="E177" s="63">
        <f t="shared" si="6"/>
        <v>25.989462436388887</v>
      </c>
      <c r="F177" s="66"/>
      <c r="G177" s="65"/>
    </row>
    <row r="178" spans="1:7" ht="12.75">
      <c r="A178" s="59">
        <v>35</v>
      </c>
      <c r="C178" s="67">
        <f t="shared" si="7"/>
        <v>25.989462436388887</v>
      </c>
      <c r="E178" s="63">
        <f t="shared" si="6"/>
        <v>25.989462436388887</v>
      </c>
      <c r="F178" s="66"/>
      <c r="G178" s="65"/>
    </row>
    <row r="179" spans="1:7" ht="12.75">
      <c r="A179" s="59">
        <v>36</v>
      </c>
      <c r="C179" s="67">
        <f t="shared" si="7"/>
        <v>25.989462436388887</v>
      </c>
      <c r="E179" s="63">
        <f t="shared" si="6"/>
        <v>25.989462436388887</v>
      </c>
      <c r="F179" s="66"/>
      <c r="G179" s="65"/>
    </row>
    <row r="180" spans="1:7" ht="12.75">
      <c r="A180" s="59">
        <v>37</v>
      </c>
      <c r="C180" s="67">
        <f t="shared" si="7"/>
        <v>25.989462436388887</v>
      </c>
      <c r="E180" s="63">
        <f t="shared" si="6"/>
        <v>25.989462436388887</v>
      </c>
      <c r="F180" s="66"/>
      <c r="G180" s="65"/>
    </row>
    <row r="181" spans="1:7" ht="12.75">
      <c r="A181" s="59">
        <v>38</v>
      </c>
      <c r="C181" s="67">
        <f t="shared" si="7"/>
        <v>25.989462436388887</v>
      </c>
      <c r="E181" s="63">
        <f t="shared" si="6"/>
        <v>25.989462436388887</v>
      </c>
      <c r="F181" s="66"/>
      <c r="G181" s="65"/>
    </row>
    <row r="182" spans="1:7" ht="12.75">
      <c r="A182" s="59">
        <v>39</v>
      </c>
      <c r="C182" s="67">
        <f t="shared" si="7"/>
        <v>25.989462436388887</v>
      </c>
      <c r="E182" s="63">
        <f t="shared" si="6"/>
        <v>25.989462436388887</v>
      </c>
      <c r="F182" s="66"/>
      <c r="G182" s="65"/>
    </row>
    <row r="183" spans="1:7" ht="12.75">
      <c r="A183" s="59">
        <v>40</v>
      </c>
      <c r="C183" s="67">
        <f t="shared" si="7"/>
        <v>25.989462436388887</v>
      </c>
      <c r="E183" s="63">
        <f t="shared" si="6"/>
        <v>25.989462436388887</v>
      </c>
      <c r="F183" s="66"/>
      <c r="G183" s="65"/>
    </row>
    <row r="184" spans="1:7" ht="12.75">
      <c r="A184" s="59">
        <v>41</v>
      </c>
      <c r="C184" s="67">
        <f t="shared" si="7"/>
        <v>25.989462436388887</v>
      </c>
      <c r="E184" s="63">
        <f t="shared" si="6"/>
        <v>25.989462436388887</v>
      </c>
      <c r="F184" s="66"/>
      <c r="G184" s="65"/>
    </row>
    <row r="185" spans="1:7" ht="12.75">
      <c r="A185" s="59">
        <v>42</v>
      </c>
      <c r="C185" s="67">
        <f t="shared" si="7"/>
        <v>25.989462436388887</v>
      </c>
      <c r="E185" s="63">
        <f t="shared" si="6"/>
        <v>25.989462436388887</v>
      </c>
      <c r="F185" s="66"/>
      <c r="G185" s="65"/>
    </row>
    <row r="186" spans="1:7" ht="12.75">
      <c r="A186" s="59">
        <v>43</v>
      </c>
      <c r="C186" s="67">
        <f t="shared" si="7"/>
        <v>25.989462436388887</v>
      </c>
      <c r="E186" s="63">
        <f t="shared" si="6"/>
        <v>25.989462436388887</v>
      </c>
      <c r="F186" s="66"/>
      <c r="G186" s="65"/>
    </row>
    <row r="187" spans="1:7" ht="12.75">
      <c r="A187" s="59">
        <v>44</v>
      </c>
      <c r="C187" s="67">
        <f t="shared" si="7"/>
        <v>25.989462436388887</v>
      </c>
      <c r="E187" s="63">
        <f t="shared" si="6"/>
        <v>25.989462436388887</v>
      </c>
      <c r="F187" s="66"/>
      <c r="G187" s="65"/>
    </row>
    <row r="188" spans="1:7" ht="12.75">
      <c r="A188" s="59">
        <v>45</v>
      </c>
      <c r="C188" s="67">
        <f t="shared" si="7"/>
        <v>25.989462436388887</v>
      </c>
      <c r="E188" s="63">
        <f t="shared" si="6"/>
        <v>25.989462436388887</v>
      </c>
      <c r="F188" s="66"/>
      <c r="G188" s="65"/>
    </row>
    <row r="189" spans="1:7" ht="12.75">
      <c r="A189" s="59">
        <v>46</v>
      </c>
      <c r="C189" s="67">
        <f t="shared" si="7"/>
        <v>25.989462436388887</v>
      </c>
      <c r="E189" s="63">
        <f t="shared" si="6"/>
        <v>25.989462436388887</v>
      </c>
      <c r="F189" s="66"/>
      <c r="G189" s="65"/>
    </row>
    <row r="190" spans="1:7" ht="12.75">
      <c r="A190" s="59">
        <v>47</v>
      </c>
      <c r="C190" s="67">
        <f t="shared" si="7"/>
        <v>25.989462436388887</v>
      </c>
      <c r="E190" s="63">
        <f t="shared" si="6"/>
        <v>25.989462436388887</v>
      </c>
      <c r="F190" s="66"/>
      <c r="G190" s="65"/>
    </row>
    <row r="191" spans="1:7" ht="12.75">
      <c r="A191" s="59">
        <v>48</v>
      </c>
      <c r="C191" s="67">
        <f t="shared" si="7"/>
        <v>25.989462436388887</v>
      </c>
      <c r="E191" s="63">
        <f t="shared" si="6"/>
        <v>25.989462436388887</v>
      </c>
      <c r="F191" s="66"/>
      <c r="G191" s="65"/>
    </row>
    <row r="192" spans="1:7" ht="12.75">
      <c r="A192" s="59">
        <v>49</v>
      </c>
      <c r="C192" s="67">
        <f t="shared" si="7"/>
        <v>25.989462436388887</v>
      </c>
      <c r="E192" s="63">
        <f t="shared" si="6"/>
        <v>25.989462436388887</v>
      </c>
      <c r="F192" s="66"/>
      <c r="G192" s="65"/>
    </row>
    <row r="193" spans="1:7" ht="12.75">
      <c r="A193" s="59">
        <v>50</v>
      </c>
      <c r="C193" s="67">
        <f t="shared" si="7"/>
        <v>25.989462436388887</v>
      </c>
      <c r="E193" s="63">
        <f t="shared" si="6"/>
        <v>25.989462436388887</v>
      </c>
      <c r="F193" s="66"/>
      <c r="G193" s="65"/>
    </row>
    <row r="194" spans="1:7" ht="12.75">
      <c r="A194" s="59">
        <v>51</v>
      </c>
      <c r="C194" s="67">
        <f t="shared" si="7"/>
        <v>25.989462436388887</v>
      </c>
      <c r="E194" s="63">
        <f t="shared" si="6"/>
        <v>25.989462436388887</v>
      </c>
      <c r="F194" s="66"/>
      <c r="G194" s="65"/>
    </row>
    <row r="195" spans="1:7" ht="12.75">
      <c r="A195" s="59">
        <v>52</v>
      </c>
      <c r="C195" s="67">
        <f t="shared" si="7"/>
        <v>25.989462436388887</v>
      </c>
      <c r="E195" s="63">
        <f t="shared" si="6"/>
        <v>25.989462436388887</v>
      </c>
      <c r="F195" s="66"/>
      <c r="G195" s="65"/>
    </row>
    <row r="196" spans="1:7" ht="12.75">
      <c r="A196" s="59">
        <v>53</v>
      </c>
      <c r="C196" s="67">
        <f t="shared" si="7"/>
        <v>25.989462436388887</v>
      </c>
      <c r="E196" s="63">
        <f t="shared" si="6"/>
        <v>25.989462436388887</v>
      </c>
      <c r="F196" s="66"/>
      <c r="G196" s="65"/>
    </row>
    <row r="197" spans="1:7" ht="12.75">
      <c r="A197" s="59">
        <v>54</v>
      </c>
      <c r="C197" s="67">
        <f t="shared" si="7"/>
        <v>25.989462436388887</v>
      </c>
      <c r="E197" s="63">
        <f t="shared" si="6"/>
        <v>25.989462436388887</v>
      </c>
      <c r="F197" s="66"/>
      <c r="G197" s="65"/>
    </row>
    <row r="198" spans="1:7" ht="12.75">
      <c r="A198" s="59">
        <v>55</v>
      </c>
      <c r="C198" s="67">
        <f t="shared" si="7"/>
        <v>25.989462436388887</v>
      </c>
      <c r="E198" s="63">
        <f t="shared" si="6"/>
        <v>25.989462436388887</v>
      </c>
      <c r="F198" s="66"/>
      <c r="G198" s="65"/>
    </row>
    <row r="199" spans="1:7" ht="12.75">
      <c r="A199" s="59">
        <v>56</v>
      </c>
      <c r="C199" s="67">
        <f t="shared" si="7"/>
        <v>25.989462436388887</v>
      </c>
      <c r="E199" s="63">
        <f t="shared" si="6"/>
        <v>25.989462436388887</v>
      </c>
      <c r="F199" s="66"/>
      <c r="G199" s="65"/>
    </row>
    <row r="200" spans="1:7" ht="12.75">
      <c r="A200" s="59">
        <v>57</v>
      </c>
      <c r="C200" s="67">
        <f t="shared" si="7"/>
        <v>25.989462436388887</v>
      </c>
      <c r="E200" s="63">
        <f t="shared" si="6"/>
        <v>25.989462436388887</v>
      </c>
      <c r="F200" s="66"/>
      <c r="G200" s="65"/>
    </row>
    <row r="201" spans="1:7" ht="12.75">
      <c r="A201" s="59">
        <v>58</v>
      </c>
      <c r="C201" s="67">
        <f t="shared" si="7"/>
        <v>25.989462436388887</v>
      </c>
      <c r="E201" s="63">
        <f t="shared" si="6"/>
        <v>25.989462436388887</v>
      </c>
      <c r="F201" s="66"/>
      <c r="G201" s="65"/>
    </row>
    <row r="202" spans="1:7" ht="12.75">
      <c r="A202" s="59">
        <v>59</v>
      </c>
      <c r="C202" s="67">
        <f t="shared" si="7"/>
        <v>25.989462436388887</v>
      </c>
      <c r="E202" s="63">
        <f t="shared" si="6"/>
        <v>25.989462436388887</v>
      </c>
      <c r="F202" s="66"/>
      <c r="G202" s="65"/>
    </row>
    <row r="203" spans="1:7" ht="12.75">
      <c r="A203" s="59">
        <v>60</v>
      </c>
      <c r="C203" s="67">
        <f t="shared" si="7"/>
        <v>25.989462436388887</v>
      </c>
      <c r="E203" s="63">
        <f t="shared" si="6"/>
        <v>25.989462436388887</v>
      </c>
      <c r="F203" s="66"/>
      <c r="G203" s="65"/>
    </row>
    <row r="204" spans="1:7" ht="12.75">
      <c r="A204" s="59">
        <v>61</v>
      </c>
      <c r="C204" s="67">
        <f t="shared" si="7"/>
        <v>25.989462436388887</v>
      </c>
      <c r="E204" s="63">
        <f t="shared" si="6"/>
        <v>25.989462436388887</v>
      </c>
      <c r="F204" s="66"/>
      <c r="G204" s="65"/>
    </row>
    <row r="205" spans="1:7" ht="12.75">
      <c r="A205" s="59">
        <v>62</v>
      </c>
      <c r="C205" s="67">
        <f t="shared" si="7"/>
        <v>25.989462436388887</v>
      </c>
      <c r="E205" s="63">
        <f t="shared" si="6"/>
        <v>25.989462436388887</v>
      </c>
      <c r="F205" s="66"/>
      <c r="G205" s="65"/>
    </row>
    <row r="206" spans="1:7" ht="12.75">
      <c r="A206" s="59">
        <v>63</v>
      </c>
      <c r="C206" s="67">
        <f t="shared" si="7"/>
        <v>25.989462436388887</v>
      </c>
      <c r="E206" s="63">
        <f t="shared" si="6"/>
        <v>25.989462436388887</v>
      </c>
      <c r="F206" s="66"/>
      <c r="G206" s="65"/>
    </row>
    <row r="207" spans="1:7" ht="12.75">
      <c r="A207" s="59">
        <v>64</v>
      </c>
      <c r="C207" s="67">
        <f t="shared" si="7"/>
        <v>25.989462436388887</v>
      </c>
      <c r="E207" s="63">
        <f t="shared" si="6"/>
        <v>25.989462436388887</v>
      </c>
      <c r="F207" s="66"/>
      <c r="G207" s="65"/>
    </row>
    <row r="208" spans="1:7" ht="12.75">
      <c r="A208" s="59">
        <v>65</v>
      </c>
      <c r="C208" s="67">
        <f t="shared" si="7"/>
        <v>25.989462436388887</v>
      </c>
      <c r="E208" s="63">
        <f t="shared" si="6"/>
        <v>25.989462436388887</v>
      </c>
      <c r="F208" s="66"/>
      <c r="G208" s="65"/>
    </row>
    <row r="209" spans="1:7" ht="12.75">
      <c r="A209" s="59">
        <v>66</v>
      </c>
      <c r="C209" s="67">
        <f t="shared" si="7"/>
        <v>25.989462436388887</v>
      </c>
      <c r="E209" s="63">
        <f t="shared" si="6"/>
        <v>25.989462436388887</v>
      </c>
      <c r="F209" s="66"/>
      <c r="G209" s="65"/>
    </row>
    <row r="210" spans="1:7" ht="12.75">
      <c r="A210" s="59">
        <v>67</v>
      </c>
      <c r="C210" s="67">
        <f t="shared" si="7"/>
        <v>25.989462436388887</v>
      </c>
      <c r="E210" s="63">
        <f t="shared" si="6"/>
        <v>25.989462436388887</v>
      </c>
      <c r="F210" s="66"/>
      <c r="G210" s="65"/>
    </row>
    <row r="211" spans="1:7" ht="12.75">
      <c r="A211" s="59">
        <v>68</v>
      </c>
      <c r="C211" s="67">
        <f t="shared" si="7"/>
        <v>25.989462436388887</v>
      </c>
      <c r="E211" s="63">
        <f t="shared" si="6"/>
        <v>25.989462436388887</v>
      </c>
      <c r="F211" s="66"/>
      <c r="G211" s="65"/>
    </row>
    <row r="212" spans="1:7" ht="12.75">
      <c r="A212" s="59">
        <v>69</v>
      </c>
      <c r="C212" s="67">
        <f t="shared" si="7"/>
        <v>25.989462436388887</v>
      </c>
      <c r="E212" s="63">
        <f aca="true" t="shared" si="8" ref="E212:E221">C212</f>
        <v>25.989462436388887</v>
      </c>
      <c r="F212" s="66"/>
      <c r="G212" s="65"/>
    </row>
    <row r="213" spans="1:7" ht="12.75">
      <c r="A213" s="59">
        <v>70</v>
      </c>
      <c r="C213" s="67">
        <f t="shared" si="7"/>
        <v>25.989462436388887</v>
      </c>
      <c r="E213" s="63">
        <f t="shared" si="8"/>
        <v>25.989462436388887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25.989462436388887</v>
      </c>
      <c r="E214" s="63">
        <f t="shared" si="8"/>
        <v>25.989462436388887</v>
      </c>
      <c r="F214" s="66"/>
      <c r="G214" s="65"/>
    </row>
    <row r="215" spans="1:7" ht="12.75">
      <c r="A215" s="59">
        <v>72</v>
      </c>
      <c r="C215" s="67">
        <f t="shared" si="9"/>
        <v>25.989462436388887</v>
      </c>
      <c r="E215" s="63">
        <f t="shared" si="8"/>
        <v>25.989462436388887</v>
      </c>
      <c r="F215" s="66"/>
      <c r="G215" s="65"/>
    </row>
    <row r="216" spans="1:7" ht="12.75">
      <c r="A216" s="59">
        <v>73</v>
      </c>
      <c r="C216" s="67">
        <f t="shared" si="9"/>
        <v>25.989462436388887</v>
      </c>
      <c r="E216" s="63">
        <f t="shared" si="8"/>
        <v>25.989462436388887</v>
      </c>
      <c r="F216" s="66"/>
      <c r="G216" s="65"/>
    </row>
    <row r="217" spans="1:7" ht="12.75">
      <c r="A217" s="59">
        <v>74</v>
      </c>
      <c r="C217" s="67">
        <f t="shared" si="9"/>
        <v>25.989462436388887</v>
      </c>
      <c r="E217" s="63">
        <f t="shared" si="8"/>
        <v>25.989462436388887</v>
      </c>
      <c r="F217" s="66"/>
      <c r="G217" s="65"/>
    </row>
    <row r="218" spans="1:7" ht="12.75">
      <c r="A218" s="59">
        <v>75</v>
      </c>
      <c r="C218" s="67">
        <f t="shared" si="9"/>
        <v>25.989462436388887</v>
      </c>
      <c r="E218" s="63">
        <f t="shared" si="8"/>
        <v>25.989462436388887</v>
      </c>
      <c r="F218" s="66"/>
      <c r="G218" s="65"/>
    </row>
    <row r="219" spans="1:7" ht="12.75">
      <c r="A219" s="59">
        <v>76</v>
      </c>
      <c r="C219" s="67">
        <f t="shared" si="9"/>
        <v>25.989462436388887</v>
      </c>
      <c r="E219" s="63">
        <f t="shared" si="8"/>
        <v>25.989462436388887</v>
      </c>
      <c r="F219" s="66"/>
      <c r="G219" s="65"/>
    </row>
    <row r="220" spans="1:7" ht="12.75">
      <c r="A220" s="59">
        <v>77</v>
      </c>
      <c r="C220" s="67">
        <f t="shared" si="9"/>
        <v>25.989462436388887</v>
      </c>
      <c r="E220" s="63">
        <f t="shared" si="8"/>
        <v>25.989462436388887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25.989462436388887</v>
      </c>
      <c r="D221" s="142"/>
      <c r="E221" s="140">
        <f t="shared" si="8"/>
        <v>25.989462436388887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="90" zoomScaleNormal="90" workbookViewId="0" topLeftCell="A1">
      <selection activeCell="J6" sqref="J6:P7"/>
    </sheetView>
  </sheetViews>
  <sheetFormatPr defaultColWidth="9.140625" defaultRowHeight="12.75"/>
  <cols>
    <col min="1" max="1" width="20.421875" style="0" customWidth="1"/>
    <col min="2" max="7" width="10.8515625" style="0" customWidth="1"/>
    <col min="12" max="12" width="14.140625" style="0" customWidth="1"/>
  </cols>
  <sheetData>
    <row r="1" spans="1:9" ht="12.75">
      <c r="A1" s="72" t="s">
        <v>152</v>
      </c>
      <c r="B1" s="73"/>
      <c r="C1" s="73"/>
      <c r="D1" s="72"/>
      <c r="E1" s="72"/>
      <c r="F1" s="72"/>
      <c r="G1" s="73"/>
      <c r="H1" s="73"/>
      <c r="I1" s="73"/>
    </row>
    <row r="2" spans="3:7" ht="12.75">
      <c r="C2" s="267" t="s">
        <v>76</v>
      </c>
      <c r="E2" s="267" t="s">
        <v>76</v>
      </c>
      <c r="G2" s="267" t="s">
        <v>76</v>
      </c>
    </row>
    <row r="3" spans="1:7" ht="12.75">
      <c r="A3" s="74" t="s">
        <v>52</v>
      </c>
      <c r="B3" s="98" t="s">
        <v>303</v>
      </c>
      <c r="C3" s="266">
        <f>Param!B9</f>
        <v>16</v>
      </c>
      <c r="D3" s="98" t="s">
        <v>304</v>
      </c>
      <c r="E3" s="266">
        <f>Param!C9</f>
        <v>22</v>
      </c>
      <c r="F3" s="98" t="s">
        <v>305</v>
      </c>
      <c r="G3" s="266">
        <f>Param!D9</f>
        <v>26</v>
      </c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99" t="s">
        <v>83</v>
      </c>
      <c r="K4" s="77"/>
      <c r="L4" s="77"/>
      <c r="M4" s="77"/>
      <c r="N4" s="77"/>
      <c r="O4" s="77"/>
      <c r="P4" s="77"/>
    </row>
    <row r="5" spans="1:16" ht="12.75">
      <c r="A5" s="351" t="s">
        <v>54</v>
      </c>
      <c r="C5" s="268"/>
      <c r="E5" s="268"/>
      <c r="G5" s="268"/>
      <c r="J5" s="77" t="s">
        <v>88</v>
      </c>
      <c r="K5" s="77"/>
      <c r="L5" s="77"/>
      <c r="M5" s="77"/>
      <c r="N5" s="77"/>
      <c r="O5" s="77"/>
      <c r="P5" s="77"/>
    </row>
    <row r="6" spans="1:16" ht="12.75">
      <c r="A6" s="79" t="s">
        <v>49</v>
      </c>
      <c r="B6" s="35">
        <f>1Low!G89</f>
        <v>-23.56375931022201</v>
      </c>
      <c r="C6" s="269">
        <f>1High!G89</f>
        <v>5.281778385525506</v>
      </c>
      <c r="D6" s="35">
        <f>2Low!G89</f>
        <v>-14.260713805966528</v>
      </c>
      <c r="E6" s="269">
        <f>2High!G89</f>
        <v>35.443388675461485</v>
      </c>
      <c r="F6" s="35">
        <f>3Low!G89</f>
        <v>-1.2374346948001704</v>
      </c>
      <c r="G6" s="269">
        <f>3High!G89</f>
        <v>69.05859554589482</v>
      </c>
      <c r="J6" s="77" t="s">
        <v>89</v>
      </c>
      <c r="K6" s="77"/>
      <c r="L6" s="77"/>
      <c r="M6" s="77"/>
      <c r="N6" s="77"/>
      <c r="O6" s="77"/>
      <c r="P6" s="77"/>
    </row>
    <row r="7" spans="1:13" ht="12.75">
      <c r="A7" s="79" t="s">
        <v>209</v>
      </c>
      <c r="B7" s="261">
        <f>1Low!G109</f>
        <v>3.747654462076179</v>
      </c>
      <c r="C7" s="270">
        <f>1High!G109</f>
        <v>63.97235450206504</v>
      </c>
      <c r="D7" s="261">
        <f>2Low!G109</f>
        <v>34.066419970413335</v>
      </c>
      <c r="E7" s="270">
        <f>2High!G109</f>
        <v>136.88533500128605</v>
      </c>
      <c r="F7" s="261">
        <f>3Low!G109</f>
        <v>67.72237936293168</v>
      </c>
      <c r="G7" s="270">
        <f>3High!G109</f>
        <v>212.11900197627307</v>
      </c>
      <c r="J7" s="82"/>
      <c r="K7" s="82"/>
      <c r="L7" s="82"/>
      <c r="M7" s="82"/>
    </row>
    <row r="8" spans="1:13" ht="12.75">
      <c r="A8" s="79" t="s">
        <v>210</v>
      </c>
      <c r="B8" s="35">
        <f>1Low!G144</f>
        <v>26.853693564762246</v>
      </c>
      <c r="C8" s="269">
        <f>1High!G144</f>
        <v>113.62583483867898</v>
      </c>
      <c r="D8" s="35">
        <f>2Low!G144</f>
        <v>74.95220684573007</v>
      </c>
      <c r="E8" s="269">
        <f>2High!G144</f>
        <v>222.70738720257165</v>
      </c>
      <c r="F8" s="35">
        <f>3Low!G144</f>
        <v>126.06385422821593</v>
      </c>
      <c r="G8" s="269">
        <f>3High!G144</f>
        <v>333.1511599079616</v>
      </c>
      <c r="J8" s="82"/>
      <c r="K8" s="82"/>
      <c r="L8" s="82"/>
      <c r="M8" s="82"/>
    </row>
    <row r="32" ht="12.75">
      <c r="B32" s="71" t="s">
        <v>269</v>
      </c>
    </row>
    <row r="35" ht="12.75">
      <c r="M35" s="71" t="s">
        <v>82</v>
      </c>
    </row>
    <row r="36" ht="12.75">
      <c r="M36" s="71" t="s">
        <v>258</v>
      </c>
    </row>
    <row r="37" ht="12.75">
      <c r="M37" s="71" t="s">
        <v>123</v>
      </c>
    </row>
    <row r="38" ht="12.75">
      <c r="M38" t="s">
        <v>84</v>
      </c>
    </row>
    <row r="39" ht="12.75">
      <c r="M39" t="s">
        <v>85</v>
      </c>
    </row>
    <row r="40" ht="12.75">
      <c r="M40" t="s">
        <v>247</v>
      </c>
    </row>
    <row r="41" ht="12.75">
      <c r="M41" t="s">
        <v>86</v>
      </c>
    </row>
    <row r="42" ht="12.75">
      <c r="M42" t="s">
        <v>248</v>
      </c>
    </row>
    <row r="43" ht="12.75">
      <c r="M43" t="s">
        <v>87</v>
      </c>
    </row>
    <row r="57" ht="12.75">
      <c r="B57" s="71" t="s"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InnoTrans</Company>
  <HyperlinkBase>www.InnoTrans.net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PRT costs - IRR &amp; NPV</dc:title>
  <dc:subject>PRT costs - IRR &amp; NPV</dc:subject>
  <dc:creator>Arno Mong Daastoel</dc:creator>
  <cp:keywords/>
  <dc:description>Copyrighted by InnoTrans</dc:description>
  <cp:lastModifiedBy>Arno Mong Daastoel</cp:lastModifiedBy>
  <cp:lastPrinted>2004-03-14T19:40:04Z</cp:lastPrinted>
  <dcterms:created xsi:type="dcterms:W3CDTF">1999-01-11T16:24:41Z</dcterms:created>
  <dcterms:modified xsi:type="dcterms:W3CDTF">2004-06-20T17:32:08Z</dcterms:modified>
  <cp:category>Urban transport</cp:category>
  <cp:version/>
  <cp:contentType/>
  <cp:contentStatus/>
</cp:coreProperties>
</file>